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9" i="1" l="1"/>
  <c r="F472" i="1"/>
  <c r="H604" i="1" l="1"/>
  <c r="J276" i="1"/>
  <c r="J531" i="1" l="1"/>
  <c r="H531" i="1"/>
  <c r="G531" i="1"/>
  <c r="F531" i="1"/>
  <c r="H521" i="1" l="1"/>
  <c r="G158" i="1"/>
  <c r="H208" i="1"/>
  <c r="H198" i="1" l="1"/>
  <c r="H233" i="1"/>
  <c r="H197" i="1"/>
  <c r="C45" i="2" l="1"/>
  <c r="G51" i="1"/>
  <c r="F51" i="1"/>
  <c r="C37" i="10" l="1"/>
  <c r="F40" i="2" l="1"/>
  <c r="D39" i="2"/>
  <c r="G655" i="1"/>
  <c r="J655" i="1" s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C120" i="2" s="1"/>
  <c r="L222" i="1"/>
  <c r="L240" i="1"/>
  <c r="D39" i="13"/>
  <c r="F13" i="13"/>
  <c r="G13" i="13"/>
  <c r="L206" i="1"/>
  <c r="L224" i="1"/>
  <c r="E13" i="13" s="1"/>
  <c r="C13" i="13" s="1"/>
  <c r="L242" i="1"/>
  <c r="F16" i="13"/>
  <c r="G16" i="13"/>
  <c r="L209" i="1"/>
  <c r="L227" i="1"/>
  <c r="L245" i="1"/>
  <c r="F5" i="13"/>
  <c r="G5" i="13"/>
  <c r="L197" i="1"/>
  <c r="L198" i="1"/>
  <c r="L199" i="1"/>
  <c r="L200" i="1"/>
  <c r="C112" i="2" s="1"/>
  <c r="L215" i="1"/>
  <c r="L216" i="1"/>
  <c r="C110" i="2" s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C121" i="2" s="1"/>
  <c r="L223" i="1"/>
  <c r="L241" i="1"/>
  <c r="F14" i="13"/>
  <c r="G14" i="13"/>
  <c r="L207" i="1"/>
  <c r="L225" i="1"/>
  <c r="L243" i="1"/>
  <c r="F15" i="13"/>
  <c r="G15" i="13"/>
  <c r="L208" i="1"/>
  <c r="L226" i="1"/>
  <c r="L244" i="1"/>
  <c r="H662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F661" i="1" s="1"/>
  <c r="L359" i="1"/>
  <c r="L360" i="1"/>
  <c r="I367" i="1"/>
  <c r="J290" i="1"/>
  <c r="J309" i="1"/>
  <c r="J328" i="1"/>
  <c r="K290" i="1"/>
  <c r="K309" i="1"/>
  <c r="K328" i="1"/>
  <c r="L276" i="1"/>
  <c r="E109" i="2" s="1"/>
  <c r="L277" i="1"/>
  <c r="L278" i="1"/>
  <c r="L279" i="1"/>
  <c r="L281" i="1"/>
  <c r="L282" i="1"/>
  <c r="E119" i="2" s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32" i="10" s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35" i="10" s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C12" i="10"/>
  <c r="C13" i="10"/>
  <c r="C17" i="10"/>
  <c r="C20" i="10"/>
  <c r="L250" i="1"/>
  <c r="L332" i="1"/>
  <c r="L254" i="1"/>
  <c r="C25" i="10"/>
  <c r="L268" i="1"/>
  <c r="L269" i="1"/>
  <c r="L349" i="1"/>
  <c r="L350" i="1"/>
  <c r="I665" i="1"/>
  <c r="I670" i="1"/>
  <c r="G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G552" i="1" s="1"/>
  <c r="L527" i="1"/>
  <c r="G550" i="1" s="1"/>
  <c r="K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C78" i="2" s="1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C111" i="2"/>
  <c r="E111" i="2"/>
  <c r="E112" i="2"/>
  <c r="C113" i="2"/>
  <c r="E113" i="2"/>
  <c r="C114" i="2"/>
  <c r="E114" i="2"/>
  <c r="D115" i="2"/>
  <c r="F115" i="2"/>
  <c r="G115" i="2"/>
  <c r="E118" i="2"/>
  <c r="E120" i="2"/>
  <c r="E121" i="2"/>
  <c r="E122" i="2"/>
  <c r="C123" i="2"/>
  <c r="E123" i="2"/>
  <c r="E124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G619" i="1" s="1"/>
  <c r="I19" i="1"/>
  <c r="F32" i="1"/>
  <c r="F52" i="1" s="1"/>
  <c r="H617" i="1" s="1"/>
  <c r="G32" i="1"/>
  <c r="H32" i="1"/>
  <c r="I32" i="1"/>
  <c r="G52" i="1"/>
  <c r="H618" i="1" s="1"/>
  <c r="H51" i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F338" i="1" s="1"/>
  <c r="F352" i="1" s="1"/>
  <c r="G290" i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G408" i="1" s="1"/>
  <c r="H645" i="1" s="1"/>
  <c r="H401" i="1"/>
  <c r="I401" i="1"/>
  <c r="F407" i="1"/>
  <c r="G407" i="1"/>
  <c r="H407" i="1"/>
  <c r="I407" i="1"/>
  <c r="F408" i="1"/>
  <c r="H408" i="1"/>
  <c r="I408" i="1"/>
  <c r="L413" i="1"/>
  <c r="L414" i="1"/>
  <c r="L415" i="1"/>
  <c r="L419" i="1" s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F452" i="1"/>
  <c r="G452" i="1"/>
  <c r="H452" i="1"/>
  <c r="I452" i="1"/>
  <c r="F460" i="1"/>
  <c r="G460" i="1"/>
  <c r="G461" i="1" s="1"/>
  <c r="H640" i="1" s="1"/>
  <c r="H460" i="1"/>
  <c r="F461" i="1"/>
  <c r="H461" i="1"/>
  <c r="F470" i="1"/>
  <c r="F476" i="1" s="1"/>
  <c r="H622" i="1" s="1"/>
  <c r="G470" i="1"/>
  <c r="H470" i="1"/>
  <c r="I470" i="1"/>
  <c r="J470" i="1"/>
  <c r="J476" i="1" s="1"/>
  <c r="H626" i="1" s="1"/>
  <c r="F474" i="1"/>
  <c r="G474" i="1"/>
  <c r="G476" i="1" s="1"/>
  <c r="H623" i="1" s="1"/>
  <c r="J623" i="1" s="1"/>
  <c r="H474" i="1"/>
  <c r="H476" i="1" s="1"/>
  <c r="H624" i="1" s="1"/>
  <c r="J624" i="1" s="1"/>
  <c r="I474" i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G545" i="1" s="1"/>
  <c r="H524" i="1"/>
  <c r="I524" i="1"/>
  <c r="J524" i="1"/>
  <c r="K524" i="1"/>
  <c r="L524" i="1"/>
  <c r="F529" i="1"/>
  <c r="G529" i="1"/>
  <c r="H529" i="1"/>
  <c r="I529" i="1"/>
  <c r="J529" i="1"/>
  <c r="K529" i="1"/>
  <c r="K545" i="1" s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8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G641" i="1"/>
  <c r="H641" i="1"/>
  <c r="G643" i="1"/>
  <c r="H643" i="1"/>
  <c r="G644" i="1"/>
  <c r="H644" i="1"/>
  <c r="G650" i="1"/>
  <c r="G651" i="1"/>
  <c r="G652" i="1"/>
  <c r="H652" i="1"/>
  <c r="G653" i="1"/>
  <c r="H653" i="1"/>
  <c r="G654" i="1"/>
  <c r="H654" i="1"/>
  <c r="H655" i="1"/>
  <c r="F192" i="1"/>
  <c r="L256" i="1"/>
  <c r="C26" i="10"/>
  <c r="L328" i="1"/>
  <c r="L351" i="1"/>
  <c r="A31" i="12"/>
  <c r="C70" i="2"/>
  <c r="D62" i="2"/>
  <c r="D63" i="2" s="1"/>
  <c r="D18" i="13"/>
  <c r="C18" i="13" s="1"/>
  <c r="D18" i="2"/>
  <c r="D17" i="13"/>
  <c r="C17" i="13" s="1"/>
  <c r="C91" i="2"/>
  <c r="F78" i="2"/>
  <c r="F81" i="2" s="1"/>
  <c r="D31" i="2"/>
  <c r="D50" i="2"/>
  <c r="G157" i="2"/>
  <c r="F18" i="2"/>
  <c r="G156" i="2"/>
  <c r="E103" i="2"/>
  <c r="E62" i="2"/>
  <c r="E63" i="2" s="1"/>
  <c r="E31" i="2"/>
  <c r="G62" i="2"/>
  <c r="D19" i="13"/>
  <c r="C19" i="13" s="1"/>
  <c r="D14" i="13"/>
  <c r="C14" i="13" s="1"/>
  <c r="E78" i="2"/>
  <c r="E81" i="2" s="1"/>
  <c r="L427" i="1"/>
  <c r="H112" i="1"/>
  <c r="J641" i="1"/>
  <c r="J639" i="1"/>
  <c r="K605" i="1"/>
  <c r="G648" i="1" s="1"/>
  <c r="J571" i="1"/>
  <c r="K571" i="1"/>
  <c r="L433" i="1"/>
  <c r="D81" i="2"/>
  <c r="I169" i="1"/>
  <c r="J644" i="1"/>
  <c r="J643" i="1"/>
  <c r="I476" i="1"/>
  <c r="H625" i="1" s="1"/>
  <c r="J625" i="1" s="1"/>
  <c r="G338" i="1"/>
  <c r="G352" i="1" s="1"/>
  <c r="J140" i="1"/>
  <c r="F571" i="1"/>
  <c r="I552" i="1"/>
  <c r="G22" i="2"/>
  <c r="J552" i="1"/>
  <c r="C29" i="10"/>
  <c r="H140" i="1"/>
  <c r="L401" i="1"/>
  <c r="C139" i="2" s="1"/>
  <c r="L393" i="1"/>
  <c r="F22" i="13"/>
  <c r="H25" i="13"/>
  <c r="C25" i="13" s="1"/>
  <c r="H571" i="1"/>
  <c r="L560" i="1"/>
  <c r="G192" i="1"/>
  <c r="H192" i="1"/>
  <c r="L309" i="1"/>
  <c r="E16" i="13"/>
  <c r="L570" i="1"/>
  <c r="I571" i="1"/>
  <c r="J636" i="1"/>
  <c r="G36" i="2"/>
  <c r="L565" i="1"/>
  <c r="K551" i="1"/>
  <c r="C22" i="13"/>
  <c r="C138" i="2"/>
  <c r="C16" i="13"/>
  <c r="H33" i="13"/>
  <c r="A40" i="12" l="1"/>
  <c r="A13" i="12"/>
  <c r="I460" i="1"/>
  <c r="I461" i="1" s="1"/>
  <c r="H642" i="1" s="1"/>
  <c r="I446" i="1"/>
  <c r="G642" i="1" s="1"/>
  <c r="G645" i="1"/>
  <c r="J645" i="1" s="1"/>
  <c r="J622" i="1"/>
  <c r="J640" i="1"/>
  <c r="K598" i="1"/>
  <c r="G647" i="1" s="1"/>
  <c r="J651" i="1"/>
  <c r="J545" i="1"/>
  <c r="I545" i="1"/>
  <c r="H545" i="1"/>
  <c r="K549" i="1"/>
  <c r="K552" i="1" s="1"/>
  <c r="L545" i="1"/>
  <c r="F552" i="1"/>
  <c r="K503" i="1"/>
  <c r="J634" i="1"/>
  <c r="D29" i="13"/>
  <c r="C29" i="13" s="1"/>
  <c r="D127" i="2"/>
  <c r="D128" i="2" s="1"/>
  <c r="D145" i="2" s="1"/>
  <c r="G661" i="1"/>
  <c r="L362" i="1"/>
  <c r="G635" i="1" s="1"/>
  <c r="J635" i="1" s="1"/>
  <c r="H661" i="1"/>
  <c r="C19" i="10"/>
  <c r="C16" i="10"/>
  <c r="E128" i="2"/>
  <c r="D7" i="13"/>
  <c r="C7" i="13" s="1"/>
  <c r="E115" i="2"/>
  <c r="L290" i="1"/>
  <c r="J338" i="1"/>
  <c r="J352" i="1" s="1"/>
  <c r="G257" i="1"/>
  <c r="G271" i="1" s="1"/>
  <c r="C122" i="2"/>
  <c r="C119" i="2"/>
  <c r="C15" i="10"/>
  <c r="L229" i="1"/>
  <c r="G660" i="1" s="1"/>
  <c r="G664" i="1" s="1"/>
  <c r="I257" i="1"/>
  <c r="I271" i="1" s="1"/>
  <c r="K257" i="1"/>
  <c r="K271" i="1" s="1"/>
  <c r="J257" i="1"/>
  <c r="J271" i="1" s="1"/>
  <c r="F257" i="1"/>
  <c r="F271" i="1" s="1"/>
  <c r="H52" i="1"/>
  <c r="H619" i="1" s="1"/>
  <c r="J619" i="1" s="1"/>
  <c r="C21" i="10"/>
  <c r="L247" i="1"/>
  <c r="H660" i="1" s="1"/>
  <c r="C11" i="10"/>
  <c r="H257" i="1"/>
  <c r="H271" i="1" s="1"/>
  <c r="D15" i="13"/>
  <c r="C15" i="13" s="1"/>
  <c r="G649" i="1"/>
  <c r="J649" i="1" s="1"/>
  <c r="H647" i="1"/>
  <c r="C124" i="2"/>
  <c r="F662" i="1"/>
  <c r="I662" i="1" s="1"/>
  <c r="C18" i="10"/>
  <c r="D12" i="13"/>
  <c r="C12" i="13" s="1"/>
  <c r="E8" i="13"/>
  <c r="C8" i="13" s="1"/>
  <c r="C118" i="2"/>
  <c r="D6" i="13"/>
  <c r="C6" i="13" s="1"/>
  <c r="D5" i="13"/>
  <c r="C5" i="13" s="1"/>
  <c r="C109" i="2"/>
  <c r="C115" i="2" s="1"/>
  <c r="F112" i="1"/>
  <c r="C36" i="10" s="1"/>
  <c r="C56" i="2"/>
  <c r="C81" i="2"/>
  <c r="C62" i="2"/>
  <c r="J617" i="1"/>
  <c r="C18" i="2"/>
  <c r="L211" i="1"/>
  <c r="C10" i="10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L338" i="1"/>
  <c r="L352" i="1" s="1"/>
  <c r="G633" i="1" s="1"/>
  <c r="J633" i="1" s="1"/>
  <c r="C24" i="10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G63" i="2"/>
  <c r="J618" i="1"/>
  <c r="G42" i="2"/>
  <c r="J51" i="1"/>
  <c r="G16" i="2"/>
  <c r="J19" i="1"/>
  <c r="G621" i="1" s="1"/>
  <c r="G18" i="2"/>
  <c r="F545" i="1"/>
  <c r="H434" i="1"/>
  <c r="J620" i="1"/>
  <c r="D103" i="2"/>
  <c r="D104" i="2" s="1"/>
  <c r="I140" i="1"/>
  <c r="I193" i="1" s="1"/>
  <c r="G630" i="1" s="1"/>
  <c r="J630" i="1" s="1"/>
  <c r="A22" i="12"/>
  <c r="G50" i="2"/>
  <c r="G51" i="2" s="1"/>
  <c r="J652" i="1"/>
  <c r="G571" i="1"/>
  <c r="I434" i="1"/>
  <c r="G434" i="1"/>
  <c r="E104" i="2"/>
  <c r="I663" i="1"/>
  <c r="C27" i="10"/>
  <c r="J642" i="1" l="1"/>
  <c r="H646" i="1"/>
  <c r="G104" i="2"/>
  <c r="D31" i="13"/>
  <c r="C31" i="13" s="1"/>
  <c r="E145" i="2"/>
  <c r="J647" i="1"/>
  <c r="I661" i="1"/>
  <c r="H664" i="1"/>
  <c r="H672" i="1" s="1"/>
  <c r="C6" i="10" s="1"/>
  <c r="H648" i="1"/>
  <c r="J648" i="1" s="1"/>
  <c r="G672" i="1"/>
  <c r="C5" i="10" s="1"/>
  <c r="G667" i="1"/>
  <c r="H667" i="1"/>
  <c r="L257" i="1"/>
  <c r="L271" i="1" s="1"/>
  <c r="G632" i="1" s="1"/>
  <c r="J632" i="1" s="1"/>
  <c r="C128" i="2"/>
  <c r="C145" i="2" s="1"/>
  <c r="E33" i="13"/>
  <c r="D35" i="13" s="1"/>
  <c r="C63" i="2"/>
  <c r="C104" i="2"/>
  <c r="F193" i="1"/>
  <c r="G627" i="1" s="1"/>
  <c r="J627" i="1" s="1"/>
  <c r="F660" i="1"/>
  <c r="F664" i="1" s="1"/>
  <c r="F667" i="1" s="1"/>
  <c r="C28" i="10"/>
  <c r="D23" i="10" s="1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D33" i="13" l="1"/>
  <c r="D36" i="13" s="1"/>
  <c r="D17" i="10"/>
  <c r="D27" i="10"/>
  <c r="D20" i="10"/>
  <c r="D21" i="10"/>
  <c r="D13" i="10"/>
  <c r="D19" i="10"/>
  <c r="D11" i="10"/>
  <c r="D24" i="10"/>
  <c r="D15" i="10"/>
  <c r="D12" i="10"/>
  <c r="F672" i="1"/>
  <c r="C4" i="10" s="1"/>
  <c r="I660" i="1"/>
  <c r="I664" i="1" s="1"/>
  <c r="I672" i="1" s="1"/>
  <c r="C7" i="10" s="1"/>
  <c r="D18" i="10"/>
  <c r="D25" i="10"/>
  <c r="D22" i="10"/>
  <c r="D10" i="10"/>
  <c r="D26" i="10"/>
  <c r="C30" i="10"/>
  <c r="D16" i="10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<sst xmlns="http://schemas.openxmlformats.org/spreadsheetml/2006/main" count="3958" uniqueCount="916">
  <si>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</si>
  <si>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</si>
  <si>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</si>
  <si>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</si>
  <si>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</si>
  <si>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</si>
  <si>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</si>
  <si>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</si>
  <si>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</si>
  <si>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</si>
  <si>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</si>
  <si>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</si>
  <si>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</si>
  <si>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</si>
  <si>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</si>
  <si>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</si>
  <si>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</si>
  <si>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</si>
  <si>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</si>
  <si>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</si>
  <si>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</si>
  <si>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</si>
  <si>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</si>
  <si>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</si>
  <si>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</si>
  <si>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</si>
  <si>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</si>
  <si>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</si>
  <si>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</si>
  <si>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</si>
  <si>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</si>
  <si>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</si>
  <si>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</si>
  <si>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</si>
  <si>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</si>
  <si>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</si>
  <si>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</si>
  <si>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</si>
  <si>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</si>
  <si>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</si>
  <si>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</si>
  <si>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</si>
  <si>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</si>
  <si>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</si>
  <si>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</si>
  <si>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</si>
  <si>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</si>
  <si>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</si>
  <si>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</si>
  <si>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</si>
  <si>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</si>
  <si>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</si>
  <si>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</si>
  <si>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</si>
  <si>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</si>
  <si>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</si>
  <si>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</si>
  <si>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</si>
  <si>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</si>
  <si>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</si>
  <si>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</si>
  <si>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</si>
  <si>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</si>
  <si>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</si>
  <si>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</si>
  <si>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</si>
  <si>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</si>
  <si>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</si>
  <si>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</si>
  <si>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</si>
  <si>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</si>
  <si>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</si>
  <si>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</si>
  <si>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</si>
  <si>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</si>
  <si>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</si>
  <si>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</si>
  <si>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</si>
  <si>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</si>
  <si>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</si>
  <si>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</si>
  <si>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</si>
  <si>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</si>
  <si>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</si>
  <si>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</si>
  <si>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</si>
  <si>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</si>
  <si>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</si>
  <si>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</si>
  <si>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</si>
  <si>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</si>
  <si>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</si>
  <si>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</si>
  <si>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</si>
  <si>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</si>
  <si>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</si>
  <si>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</si>
  <si>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</si>
  <si>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</si>
  <si>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</si>
  <si>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</si>
  <si>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</si>
  <si>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</si>
  <si>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</si>
  <si>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</si>
  <si>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</si>
  <si>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</si>
  <si>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</si>
  <si>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</si>
  <si>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</si>
  <si>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</si>
  <si>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</si>
  <si>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</si>
  <si>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</si>
  <si>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</si>
  <si>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</si>
  <si>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</si>
  <si>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</si>
  <si>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</si>
  <si>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</si>
  <si>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</si>
  <si>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</si>
  <si>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</si>
  <si>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</si>
  <si>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</si>
  <si>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</si>
  <si>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</si>
  <si>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</si>
  <si>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</si>
  <si>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</si>
  <si>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</si>
  <si>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</si>
  <si>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</si>
  <si>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</si>
  <si>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</si>
  <si>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</si>
  <si>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</si>
  <si>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</si>
  <si>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</si>
  <si>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</si>
  <si>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</si>
  <si>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</si>
  <si>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</si>
  <si>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</si>
  <si>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</si>
  <si>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</si>
  <si>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</si>
  <si>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</si>
  <si>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</si>
  <si>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</si>
  <si>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</si>
  <si>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</si>
  <si>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</si>
  <si>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</si>
  <si>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</si>
  <si>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</si>
  <si>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</si>
  <si>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</si>
  <si>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</si>
  <si>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</si>
  <si>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</si>
  <si>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</si>
  <si>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</si>
  <si>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</si>
  <si>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</si>
  <si>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</si>
  <si>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</si>
  <si>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</si>
  <si>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</si>
  <si>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</si>
  <si>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</si>
  <si>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</si>
  <si>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</si>
  <si>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</si>
  <si>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</si>
  <si>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</si>
  <si>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</si>
  <si>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</si>
  <si>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</si>
  <si>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</si>
  <si>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</si>
  <si>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</si>
  <si>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</si>
  <si>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</si>
  <si>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</si>
  <si>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</si>
  <si>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</si>
  <si>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</si>
  <si>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</si>
  <si>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</si>
  <si>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</si>
  <si>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</si>
  <si>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</si>
  <si>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</si>
  <si>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</si>
  <si>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</si>
  <si>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</si>
  <si>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</si>
  <si>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</si>
  <si>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</si>
  <si>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</si>
  <si>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</si>
  <si>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</si>
  <si>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</si>
  <si>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</si>
  <si>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</si>
  <si>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</si>
  <si>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</si>
  <si>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</si>
  <si>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</si>
  <si>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</si>
  <si>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</si>
  <si>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</si>
  <si>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</si>
  <si>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</si>
  <si>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</si>
  <si>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</si>
  <si>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</si>
  <si>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</si>
  <si>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</si>
  <si>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</si>
  <si>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</si>
  <si>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</si>
  <si>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</si>
  <si>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</si>
  <si>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</si>
  <si>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</si>
  <si>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</si>
  <si>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</si>
  <si>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</si>
  <si>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</si>
  <si>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</si>
  <si>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</si>
  <si>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</si>
  <si>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</si>
  <si>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</si>
  <si>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</si>
  <si>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</si>
  <si>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</si>
  <si>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</si>
  <si>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</si>
  <si>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</si>
  <si>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</si>
  <si>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</si>
  <si>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</si>
  <si>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</si>
  <si>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</si>
  <si>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</si>
  <si>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</si>
  <si>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</si>
  <si>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</si>
  <si>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</si>
  <si>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</si>
  <si>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</si>
  <si>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</si>
  <si>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</si>
  <si>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</si>
  <si>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</si>
  <si>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</si>
  <si>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</si>
  <si>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</si>
  <si>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</si>
  <si>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</si>
  <si>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</si>
  <si>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</si>
  <si>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</si>
  <si>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</si>
  <si>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</si>
  <si>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</si>
  <si>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</si>
  <si>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</si>
  <si>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</si>
  <si>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</si>
  <si>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</si>
  <si>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</si>
  <si>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</si>
  <si>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</si>
  <si>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</si>
  <si>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</si>
  <si>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</si>
  <si>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</si>
  <si>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</si>
  <si>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</si>
  <si>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</si>
  <si>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</si>
  <si>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</si>
  <si>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</si>
  <si>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</si>
  <si>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</si>
  <si>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</si>
  <si>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</si>
  <si>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</si>
  <si>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</si>
  <si>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</si>
  <si>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</si>
  <si>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</si>
  <si>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</si>
  <si>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</si>
  <si>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</si>
  <si>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</si>
  <si>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</si>
  <si>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</si>
  <si>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</si>
  <si>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</si>
  <si>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</si>
  <si>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</si>
  <si>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</si>
  <si>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</si>
  <si>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</si>
  <si>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</si>
  <si>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</si>
  <si>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</si>
  <si>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</si>
  <si>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</si>
  <si>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</si>
  <si>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</si>
  <si>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</si>
  <si>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</si>
  <si>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</si>
  <si>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</si>
  <si>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</si>
  <si>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</si>
  <si>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</si>
  <si>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</si>
  <si>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</si>
  <si>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</si>
  <si>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</si>
  <si>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</si>
  <si>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</si>
  <si>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</si>
  <si>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</si>
  <si>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</si>
  <si>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</si>
  <si>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</si>
  <si>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</si>
  <si>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</si>
  <si>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</si>
  <si>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</si>
  <si>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</si>
  <si>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</si>
  <si>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</si>
  <si>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</si>
  <si>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</si>
  <si>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</si>
  <si>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</si>
  <si>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</si>
  <si>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</si>
  <si>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</si>
  <si>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</si>
  <si>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</si>
  <si>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</si>
  <si>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</si>
  <si>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</si>
  <si>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</si>
  <si>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</si>
  <si>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</si>
  <si>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</si>
  <si>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</si>
  <si>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</si>
  <si>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</si>
  <si>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</si>
  <si>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</si>
  <si>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</si>
  <si>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</si>
  <si>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</si>
  <si>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</si>
  <si>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</si>
  <si>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</si>
  <si>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</si>
  <si>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</si>
  <si>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</si>
  <si>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</si>
  <si>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</si>
  <si>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</si>
  <si>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</si>
  <si>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</si>
  <si>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</si>
  <si>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</si>
  <si>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</si>
  <si>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</si>
  <si>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</si>
  <si>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</si>
  <si>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</si>
  <si>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</si>
  <si>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</si>
  <si>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</si>
  <si>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</si>
  <si>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</si>
  <si>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</si>
  <si>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</si>
  <si>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</si>
  <si>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</si>
  <si>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</si>
  <si>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</si>
  <si>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</si>
  <si>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</si>
  <si>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</si>
  <si>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</si>
  <si>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</si>
  <si>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</si>
  <si>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</si>
  <si>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</si>
  <si>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</si>
  <si>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</si>
  <si>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</si>
  <si>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</si>
  <si>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</si>
  <si>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</si>
  <si>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</si>
  <si>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</si>
  <si>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</si>
  <si>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</si>
  <si>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</si>
  <si>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</si>
  <si>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</si>
  <si>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</si>
  <si>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</si>
  <si>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</si>
  <si>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</si>
  <si>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</si>
  <si>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</si>
  <si>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</si>
  <si>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</si>
  <si>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</si>
  <si>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</si>
  <si>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</si>
  <si>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</si>
  <si>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</si>
  <si>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</si>
  <si>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</si>
  <si>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</si>
  <si>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</si>
  <si>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</si>
  <si>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</si>
  <si>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</si>
  <si>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</si>
  <si>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</si>
  <si>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</si>
  <si>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</si>
  <si>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</si>
  <si>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</si>
  <si>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</si>
  <si>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</si>
  <si>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</si>
  <si>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</si>
  <si>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</si>
  <si>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</si>
  <si>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</si>
  <si>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</si>
  <si>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</si>
  <si>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</si>
  <si>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</si>
  <si>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</si>
  <si>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</si>
  <si>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</si>
  <si>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</si>
  <si>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</si>
  <si>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</si>
  <si>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</si>
  <si>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</si>
  <si>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</si>
  <si>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</si>
  <si>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</si>
  <si>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</si>
  <si>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</si>
  <si>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</si>
  <si>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</si>
  <si>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</si>
  <si>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</si>
  <si>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</si>
  <si>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</si>
  <si>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</si>
  <si>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</si>
  <si>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</si>
  <si>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</si>
  <si>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</si>
  <si>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</si>
  <si>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</si>
  <si>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</si>
  <si>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</si>
  <si>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</si>
  <si>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</si>
  <si>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</si>
  <si>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</si>
  <si>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</si>
  <si>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</si>
  <si>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</si>
  <si>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</si>
  <si>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</si>
  <si>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</si>
  <si>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</si>
  <si>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</si>
  <si>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</si>
  <si>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</si>
  <si>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</si>
  <si>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</si>
  <si>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</si>
  <si>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</si>
  <si>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</si>
  <si>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</si>
  <si>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</si>
  <si>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</si>
  <si>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</si>
  <si>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</si>
  <si>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</si>
  <si>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</si>
  <si>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</si>
  <si>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</si>
  <si>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</si>
  <si>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</si>
  <si>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</si>
  <si>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</si>
  <si>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</si>
  <si>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</si>
  <si>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</si>
  <si>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</si>
  <si>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</si>
  <si>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</si>
  <si>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</si>
  <si>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</si>
  <si>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</si>
  <si>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</si>
  <si>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</si>
  <si>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</si>
  <si>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</si>
  <si>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</si>
  <si>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</si>
  <si>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</si>
  <si>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</si>
  <si>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</si>
  <si>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</si>
  <si>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</si>
  <si>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</si>
  <si>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</si>
  <si>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</si>
  <si>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</si>
  <si>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</si>
  <si>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</si>
  <si>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</si>
  <si>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</si>
  <si>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</si>
  <si>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</si>
  <si>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</si>
  <si>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</si>
  <si>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</si>
  <si>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</si>
  <si>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</si>
  <si>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</si>
  <si>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</si>
  <si>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</si>
  <si>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</si>
  <si>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</si>
  <si>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</si>
  <si>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</si>
  <si>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</si>
  <si>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</si>
  <si>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</si>
  <si>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</si>
  <si>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</si>
  <si>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</si>
  <si>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</si>
  <si>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</si>
  <si>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</si>
  <si>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</si>
  <si>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</si>
  <si>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</si>
  <si>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</si>
  <si>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</si>
  <si>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</si>
  <si>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</si>
  <si>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</si>
  <si>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</si>
  <si>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</si>
  <si>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</si>
  <si>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</si>
  <si>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</si>
  <si>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</si>
  <si>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</si>
  <si>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</si>
  <si>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</si>
  <si>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</si>
  <si>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</si>
  <si>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</si>
  <si>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</si>
  <si>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</si>
  <si>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</si>
  <si>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</si>
  <si>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</si>
  <si>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</si>
  <si>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</si>
  <si>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</si>
  <si>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</si>
  <si>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</si>
  <si>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</si>
  <si>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</si>
  <si>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</si>
  <si>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</si>
  <si>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</si>
  <si>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</si>
  <si>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</si>
  <si>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</si>
  <si>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</si>
  <si>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</si>
  <si>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</si>
  <si>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</si>
  <si>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</si>
  <si>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</si>
  <si>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</si>
  <si>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</si>
  <si>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</si>
  <si>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</si>
  <si>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</si>
  <si>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</si>
  <si>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</si>
  <si>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</si>
  <si>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</si>
  <si>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</si>
  <si>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</si>
  <si>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</si>
  <si>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</si>
  <si>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</si>
  <si>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</si>
  <si>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</si>
  <si>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</si>
  <si>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</si>
  <si>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</si>
  <si>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</si>
  <si>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</si>
  <si>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</si>
  <si>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</si>
  <si>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</si>
  <si>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</si>
  <si>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</si>
  <si>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</si>
  <si>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</si>
  <si>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</si>
  <si>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</si>
  <si>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</si>
  <si>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</si>
  <si>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</si>
  <si>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</si>
  <si>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</si>
  <si>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</si>
  <si>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</si>
  <si>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</si>
  <si>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</si>
  <si>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</si>
  <si>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</si>
  <si>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</si>
  <si>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</si>
  <si>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</si>
  <si>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</si>
  <si>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</si>
  <si>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</si>
  <si>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</si>
  <si>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</si>
  <si>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</si>
  <si>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</si>
  <si>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</si>
  <si>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</si>
  <si>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</si>
  <si>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</si>
  <si>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</si>
  <si>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</si>
  <si>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</si>
  <si>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</si>
  <si>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</si>
  <si>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</si>
  <si>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</si>
  <si>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</si>
  <si>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</si>
  <si>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</si>
  <si>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</si>
  <si>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</si>
  <si>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</si>
  <si>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</si>
  <si>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</si>
  <si>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</si>
  <si>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</si>
  <si>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</si>
  <si>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</si>
  <si>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</si>
  <si>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</si>
  <si>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</si>
  <si>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</si>
  <si>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</si>
  <si>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</si>
  <si>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</si>
  <si>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</si>
  <si>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</si>
  <si>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</si>
  <si>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</si>
  <si>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</si>
  <si>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</si>
  <si>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</si>
  <si>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</si>
  <si>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</si>
  <si>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</si>
  <si>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</si>
  <si>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</si>
  <si>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</si>
  <si>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</si>
  <si>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</si>
  <si>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</si>
  <si>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</si>
  <si>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</si>
  <si>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</si>
  <si>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</si>
  <si>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</si>
  <si>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</si>
  <si>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</si>
  <si>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</si>
  <si>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</si>
  <si>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</si>
  <si>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</si>
  <si>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</si>
  <si>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</si>
  <si>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</si>
  <si>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</si>
  <si>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</si>
  <si>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</si>
  <si>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</si>
  <si>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</si>
  <si>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</si>
  <si>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</si>
  <si>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</si>
  <si>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</si>
  <si>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</si>
  <si>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</si>
  <si>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</si>
  <si>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</si>
  <si>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</si>
  <si>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</si>
  <si>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</si>
  <si>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</si>
  <si>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</si>
  <si>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</si>
  <si>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</si>
  <si>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</si>
  <si>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</si>
  <si>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</si>
  <si>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</si>
  <si>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</si>
  <si>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</si>
  <si>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</si>
  <si>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</si>
  <si>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</si>
  <si>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</si>
  <si>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</si>
  <si>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</si>
  <si>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</si>
  <si>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</si>
  <si>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</si>
  <si>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</si>
  <si>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</si>
  <si>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</si>
  <si>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</si>
  <si>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</si>
  <si>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</si>
  <si>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</si>
  <si>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</si>
  <si>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</si>
  <si>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</si>
  <si>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</si>
  <si>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</si>
  <si>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</si>
  <si>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</si>
  <si>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</si>
  <si>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</si>
  <si>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</si>
  <si>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</si>
  <si>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</si>
  <si>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</si>
  <si>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</si>
  <si>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</si>
  <si>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</si>
  <si>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</si>
  <si>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</si>
  <si>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</si>
  <si>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</si>
  <si>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</si>
  <si>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</si>
  <si>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</si>
  <si>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</si>
  <si>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</si>
  <si>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</si>
  <si>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</si>
  <si>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</si>
  <si>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</si>
  <si>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</si>
  <si>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</si>
  <si>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</si>
  <si>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</si>
  <si>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</si>
  <si>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</si>
  <si>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</si>
  <si>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</si>
  <si>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</si>
  <si>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</si>
  <si>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</si>
  <si>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</si>
  <si>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</si>
  <si>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</si>
  <si>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</si>
  <si>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</si>
  <si>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</si>
  <si>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</si>
  <si>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</si>
  <si>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</si>
  <si>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</si>
  <si>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</si>
  <si>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</si>
  <si>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</si>
  <si>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</si>
  <si>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</si>
  <si>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</si>
  <si>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</si>
  <si>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</si>
  <si>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</si>
  <si>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</si>
  <si>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</si>
  <si>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</si>
  <si>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</si>
  <si>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</si>
  <si>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</si>
  <si>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</si>
  <si>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</si>
  <si>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</si>
  <si>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</si>
  <si>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</si>
  <si>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</si>
  <si>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</si>
  <si>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</si>
  <si>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</si>
  <si>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</si>
  <si>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</si>
  <si>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</si>
  <si>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</si>
  <si>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</si>
  <si>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</si>
  <si>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</si>
  <si>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</si>
  <si>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</si>
  <si>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</si>
  <si>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</si>
  <si>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</si>
  <si>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</si>
  <si>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</si>
  <si>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</si>
  <si>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</si>
  <si>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</si>
  <si>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</si>
  <si>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</si>
  <si>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</si>
  <si>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</si>
  <si>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</si>
  <si>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</si>
  <si>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</si>
  <si>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</si>
  <si>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</si>
  <si>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</si>
  <si>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</si>
  <si>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</si>
  <si>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</si>
  <si>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</si>
  <si>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</si>
  <si>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</si>
  <si>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</si>
  <si>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</si>
  <si>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</si>
  <si>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</si>
  <si>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</si>
  <si>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</si>
  <si>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</si>
  <si>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</si>
  <si>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</si>
  <si>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</si>
  <si>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</si>
  <si>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</si>
  <si>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</si>
  <si>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</si>
  <si>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</si>
  <si>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</si>
  <si>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</si>
  <si>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</si>
  <si>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</si>
  <si>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</si>
  <si>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</si>
  <si>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</si>
  <si>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</si>
  <si>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</si>
  <si>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</si>
  <si>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</si>
  <si>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</si>
  <si>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</si>
  <si>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</si>
  <si>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</si>
  <si>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</si>
  <si>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</si>
  <si>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</si>
  <si>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</si>
  <si>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</si>
  <si>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</si>
  <si>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</si>
  <si>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</si>
  <si>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</si>
  <si>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</si>
  <si>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</si>
  <si>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</si>
  <si>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</si>
  <si>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</si>
  <si>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</si>
  <si>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2003</t>
  </si>
  <si>
    <t>08/23</t>
  </si>
  <si>
    <t>FY15 Audit Fund Balance Adjustment</t>
  </si>
  <si>
    <t>Tamworth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</si>
</sst>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F49" sqref="F49:F5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915</v>
      </c>
      <c r="B2" s="21">
        <v>525</v>
      </c>
      <c r="C2" s="21">
        <v>525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-82509.65-30000</f>
        <v>-112509.65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2067.5</v>
      </c>
      <c r="G10" s="18"/>
      <c r="H10" s="18"/>
      <c r="I10" s="18"/>
      <c r="J10" s="67">
        <f>SUM(I440)</f>
        <v>250771.7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171477.08</v>
      </c>
      <c r="G12" s="18"/>
      <c r="H12" s="18">
        <v>-17090.8</v>
      </c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16606.38</v>
      </c>
      <c r="G13" s="18"/>
      <c r="H13" s="18">
        <v>44516.6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259479.08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16802.57</v>
      </c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353922.96</v>
      </c>
      <c r="G19" s="41">
        <f>SUM(G9:G18)</f>
        <v>0</v>
      </c>
      <c r="H19" s="41">
        <f>SUM(H9:H18)</f>
        <v>27425.8</v>
      </c>
      <c r="I19" s="41">
        <f>SUM(I9:I18)</f>
        <v>0</v>
      </c>
      <c r="J19" s="41">
        <f>SUM(J9:J18)</f>
        <v>250771.7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26508.09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8493.16</v>
      </c>
      <c r="G24" s="18"/>
      <c r="H24" s="18">
        <v>917.71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8493.16</v>
      </c>
      <c r="G32" s="41">
        <f>SUM(G22:G31)</f>
        <v>0</v>
      </c>
      <c r="H32" s="41">
        <f>SUM(H22:H31)</f>
        <v>27425.8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30000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135924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250771.7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28234.71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151271.09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345429.8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250771.7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353922.95999999996</v>
      </c>
      <c r="G52" s="41">
        <f>G51+G32</f>
        <v>0</v>
      </c>
      <c r="H52" s="41">
        <f>H51+H32</f>
        <v>27425.8</v>
      </c>
      <c r="I52" s="41">
        <f>I51+I32</f>
        <v>0</v>
      </c>
      <c r="J52" s="41">
        <f>J51+J32</f>
        <v>250771.7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4674597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4674597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360.42</v>
      </c>
      <c r="G96" s="18"/>
      <c r="H96" s="18"/>
      <c r="I96" s="18"/>
      <c r="J96" s="18"/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19862.650000000001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3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71254.81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71618.23</v>
      </c>
      <c r="G111" s="41">
        <f>SUM(G96:G110)</f>
        <v>19862.650000000001</v>
      </c>
      <c r="H111" s="41">
        <f>SUM(H96:H110)</f>
        <v>0</v>
      </c>
      <c r="I111" s="41">
        <f>SUM(I96:I110)</f>
        <v>0</v>
      </c>
      <c r="J111" s="41">
        <f>SUM(J96:J110)</f>
        <v>0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4746215.2300000004</v>
      </c>
      <c r="G112" s="41">
        <f>G60+G111</f>
        <v>19862.650000000001</v>
      </c>
      <c r="H112" s="41">
        <f>H60+H79+H94+H111</f>
        <v>0</v>
      </c>
      <c r="I112" s="41">
        <f>I60+I111</f>
        <v>0</v>
      </c>
      <c r="J112" s="41">
        <f>J60+J111</f>
        <v>0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812135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762352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1574487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49083.360000000001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26004.89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174.18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>
        <v>18211.98</v>
      </c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93300.23</v>
      </c>
      <c r="G136" s="41">
        <f>SUM(G123:G135)</f>
        <v>174.18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1667787.23</v>
      </c>
      <c r="G140" s="41">
        <f>G121+SUM(G136:G137)</f>
        <v>174.18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148934.51999999999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25764.080000000002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f>58349.36+6342.51</f>
        <v>64691.87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77984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>
        <v>11863.01</v>
      </c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77984</v>
      </c>
      <c r="G162" s="41">
        <f>SUM(G150:G161)</f>
        <v>76554.880000000005</v>
      </c>
      <c r="H162" s="41">
        <f>SUM(H150:H161)</f>
        <v>174698.59999999998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125.05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78109.05</v>
      </c>
      <c r="G169" s="41">
        <f>G147+G162+SUM(G163:G168)</f>
        <v>76554.880000000005</v>
      </c>
      <c r="H169" s="41">
        <f>H147+H162+SUM(H163:H168)</f>
        <v>174698.59999999998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19705.689999999999</v>
      </c>
      <c r="H179" s="18"/>
      <c r="I179" s="18"/>
      <c r="J179" s="18">
        <v>30000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19705.689999999999</v>
      </c>
      <c r="H183" s="41">
        <f>SUM(H179:H182)</f>
        <v>0</v>
      </c>
      <c r="I183" s="41">
        <f>SUM(I179:I182)</f>
        <v>0</v>
      </c>
      <c r="J183" s="41">
        <f>SUM(J179:J182)</f>
        <v>30000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19705.689999999999</v>
      </c>
      <c r="H192" s="41">
        <f>+H183+SUM(H188:H191)</f>
        <v>0</v>
      </c>
      <c r="I192" s="41">
        <f>I177+I183+SUM(I188:I191)</f>
        <v>0</v>
      </c>
      <c r="J192" s="41">
        <f>J183</f>
        <v>30000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6492111.5100000007</v>
      </c>
      <c r="G193" s="47">
        <f>G112+G140+G169+G192</f>
        <v>116297.40000000001</v>
      </c>
      <c r="H193" s="47">
        <f>H112+H140+H169+H192</f>
        <v>174698.59999999998</v>
      </c>
      <c r="I193" s="47">
        <f>I112+I140+I169+I192</f>
        <v>0</v>
      </c>
      <c r="J193" s="47">
        <f>J112+J140+J192</f>
        <v>30000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1389492.69</v>
      </c>
      <c r="G197" s="18">
        <v>684541.95</v>
      </c>
      <c r="H197" s="18">
        <f>1216825.63-85697-1122052</f>
        <v>9076.6299999998882</v>
      </c>
      <c r="I197" s="18">
        <v>35838.25</v>
      </c>
      <c r="J197" s="18">
        <v>50082.09</v>
      </c>
      <c r="K197" s="18">
        <v>75</v>
      </c>
      <c r="L197" s="19">
        <f>SUM(F197:K197)</f>
        <v>2169106.6099999994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460069.99</v>
      </c>
      <c r="G198" s="18">
        <v>292960.15000000002</v>
      </c>
      <c r="H198" s="18">
        <f>186150.1-46152.68</f>
        <v>139997.42000000001</v>
      </c>
      <c r="I198" s="18">
        <v>334.36</v>
      </c>
      <c r="J198" s="18"/>
      <c r="K198" s="18"/>
      <c r="L198" s="19">
        <f>SUM(F198:K198)</f>
        <v>893361.92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3850</v>
      </c>
      <c r="G200" s="18">
        <v>521.76</v>
      </c>
      <c r="H200" s="18">
        <v>8880</v>
      </c>
      <c r="I200" s="18">
        <v>1519.11</v>
      </c>
      <c r="J200" s="18"/>
      <c r="K200" s="18"/>
      <c r="L200" s="19">
        <f>SUM(F200:K200)</f>
        <v>14770.87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259880.89</v>
      </c>
      <c r="G202" s="18">
        <v>128486.84</v>
      </c>
      <c r="H202" s="18">
        <v>18440.55</v>
      </c>
      <c r="I202" s="18">
        <v>1435.08</v>
      </c>
      <c r="J202" s="18">
        <v>336.18</v>
      </c>
      <c r="K202" s="18"/>
      <c r="L202" s="19">
        <f t="shared" ref="L202:L208" si="0">SUM(F202:K202)</f>
        <v>408579.54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53497.63</v>
      </c>
      <c r="G203" s="18">
        <v>19293.650000000001</v>
      </c>
      <c r="H203" s="18">
        <v>30692.62</v>
      </c>
      <c r="I203" s="18">
        <v>3476.68</v>
      </c>
      <c r="J203" s="18"/>
      <c r="K203" s="18"/>
      <c r="L203" s="19">
        <f t="shared" si="0"/>
        <v>106960.57999999999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3250</v>
      </c>
      <c r="G204" s="18">
        <v>248.63</v>
      </c>
      <c r="H204" s="18">
        <v>266812.03999999998</v>
      </c>
      <c r="I204" s="18">
        <v>223.63</v>
      </c>
      <c r="J204" s="18"/>
      <c r="K204" s="18">
        <v>3626.39</v>
      </c>
      <c r="L204" s="19">
        <f t="shared" si="0"/>
        <v>274160.69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138559.57</v>
      </c>
      <c r="G205" s="18">
        <v>76220.19</v>
      </c>
      <c r="H205" s="18">
        <v>7908.57</v>
      </c>
      <c r="I205" s="18">
        <v>2136.13</v>
      </c>
      <c r="J205" s="18"/>
      <c r="K205" s="18">
        <v>1618.47</v>
      </c>
      <c r="L205" s="19">
        <f t="shared" si="0"/>
        <v>226442.93000000002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120883.97</v>
      </c>
      <c r="G207" s="18">
        <v>82685.039999999994</v>
      </c>
      <c r="H207" s="18">
        <v>86897.8</v>
      </c>
      <c r="I207" s="18">
        <v>105557</v>
      </c>
      <c r="J207" s="18">
        <v>86414.51</v>
      </c>
      <c r="K207" s="18"/>
      <c r="L207" s="19">
        <f t="shared" si="0"/>
        <v>482438.32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f>256552.06-79004.44</f>
        <v>177547.62</v>
      </c>
      <c r="I208" s="18"/>
      <c r="J208" s="18"/>
      <c r="K208" s="18"/>
      <c r="L208" s="19">
        <f t="shared" si="0"/>
        <v>177547.62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2429484.7399999998</v>
      </c>
      <c r="G211" s="41">
        <f t="shared" si="1"/>
        <v>1284958.2099999997</v>
      </c>
      <c r="H211" s="41">
        <f t="shared" si="1"/>
        <v>746253.24999999988</v>
      </c>
      <c r="I211" s="41">
        <f t="shared" si="1"/>
        <v>150520.24</v>
      </c>
      <c r="J211" s="41">
        <f t="shared" si="1"/>
        <v>136832.78</v>
      </c>
      <c r="K211" s="41">
        <f t="shared" si="1"/>
        <v>5319.86</v>
      </c>
      <c r="L211" s="41">
        <f t="shared" si="1"/>
        <v>4753369.08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f>85697+1122052</f>
        <v>1207749</v>
      </c>
      <c r="I233" s="18"/>
      <c r="J233" s="18"/>
      <c r="K233" s="18"/>
      <c r="L233" s="19">
        <f>SUM(F233:K233)</f>
        <v>1207749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46152.68</v>
      </c>
      <c r="I234" s="18"/>
      <c r="J234" s="18"/>
      <c r="K234" s="18"/>
      <c r="L234" s="19">
        <f>SUM(F234:K234)</f>
        <v>46152.68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79004.44</v>
      </c>
      <c r="I244" s="18"/>
      <c r="J244" s="18"/>
      <c r="K244" s="18"/>
      <c r="L244" s="19">
        <f t="shared" si="4"/>
        <v>79004.44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1332906.1199999999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1332906.1199999999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2429484.7399999998</v>
      </c>
      <c r="G257" s="41">
        <f t="shared" si="8"/>
        <v>1284958.2099999997</v>
      </c>
      <c r="H257" s="41">
        <f t="shared" si="8"/>
        <v>2079159.3699999996</v>
      </c>
      <c r="I257" s="41">
        <f t="shared" si="8"/>
        <v>150520.24</v>
      </c>
      <c r="J257" s="41">
        <f t="shared" si="8"/>
        <v>136832.78</v>
      </c>
      <c r="K257" s="41">
        <f t="shared" si="8"/>
        <v>5319.86</v>
      </c>
      <c r="L257" s="41">
        <f t="shared" si="8"/>
        <v>6086275.2000000002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164102.56</v>
      </c>
      <c r="L260" s="19">
        <f>SUM(F260:K260)</f>
        <v>164102.56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57869.35</v>
      </c>
      <c r="L261" s="19">
        <f>SUM(F261:K261)</f>
        <v>57869.35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19705.689999999999</v>
      </c>
      <c r="L263" s="19">
        <f>SUM(F263:K263)</f>
        <v>19705.689999999999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30000</v>
      </c>
      <c r="L266" s="19">
        <f t="shared" si="9"/>
        <v>30000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271677.59999999998</v>
      </c>
      <c r="L270" s="41">
        <f t="shared" si="9"/>
        <v>271677.59999999998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2429484.7399999998</v>
      </c>
      <c r="G271" s="42">
        <f t="shared" si="11"/>
        <v>1284958.2099999997</v>
      </c>
      <c r="H271" s="42">
        <f t="shared" si="11"/>
        <v>2079159.3699999996</v>
      </c>
      <c r="I271" s="42">
        <f t="shared" si="11"/>
        <v>150520.24</v>
      </c>
      <c r="J271" s="42">
        <f t="shared" si="11"/>
        <v>136832.78</v>
      </c>
      <c r="K271" s="42">
        <f t="shared" si="11"/>
        <v>276997.45999999996</v>
      </c>
      <c r="L271" s="42">
        <f t="shared" si="11"/>
        <v>6357952.7999999998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89096.81</v>
      </c>
      <c r="G276" s="18">
        <v>26651.56</v>
      </c>
      <c r="H276" s="18">
        <v>680</v>
      </c>
      <c r="I276" s="18">
        <v>7373.5</v>
      </c>
      <c r="J276" s="18">
        <f>3080.87+4484.68</f>
        <v>7565.55</v>
      </c>
      <c r="K276" s="18"/>
      <c r="L276" s="19">
        <f>SUM(F276:K276)</f>
        <v>131367.41999999998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>
        <v>2901.87</v>
      </c>
      <c r="J277" s="18"/>
      <c r="K277" s="18"/>
      <c r="L277" s="19">
        <f>SUM(F277:K277)</f>
        <v>2901.87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>
        <v>696.18</v>
      </c>
      <c r="J281" s="18"/>
      <c r="K281" s="18"/>
      <c r="L281" s="19">
        <f t="shared" ref="L281:L287" si="12">SUM(F281:K281)</f>
        <v>696.18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11223.71</v>
      </c>
      <c r="G282" s="18">
        <v>2449.5700000000002</v>
      </c>
      <c r="H282" s="18">
        <v>20521</v>
      </c>
      <c r="I282" s="18"/>
      <c r="J282" s="18"/>
      <c r="K282" s="18"/>
      <c r="L282" s="19">
        <f t="shared" si="12"/>
        <v>34194.28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>
        <v>5538.85</v>
      </c>
      <c r="L285" s="19">
        <f t="shared" si="12"/>
        <v>5538.85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100320.51999999999</v>
      </c>
      <c r="G290" s="42">
        <f t="shared" si="13"/>
        <v>29101.13</v>
      </c>
      <c r="H290" s="42">
        <f t="shared" si="13"/>
        <v>21201</v>
      </c>
      <c r="I290" s="42">
        <f t="shared" si="13"/>
        <v>10971.55</v>
      </c>
      <c r="J290" s="42">
        <f t="shared" si="13"/>
        <v>7565.55</v>
      </c>
      <c r="K290" s="42">
        <f t="shared" si="13"/>
        <v>5538.85</v>
      </c>
      <c r="L290" s="41">
        <f t="shared" si="13"/>
        <v>174698.59999999998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100320.51999999999</v>
      </c>
      <c r="G338" s="41">
        <f t="shared" si="20"/>
        <v>29101.13</v>
      </c>
      <c r="H338" s="41">
        <f t="shared" si="20"/>
        <v>21201</v>
      </c>
      <c r="I338" s="41">
        <f t="shared" si="20"/>
        <v>10971.55</v>
      </c>
      <c r="J338" s="41">
        <f t="shared" si="20"/>
        <v>7565.55</v>
      </c>
      <c r="K338" s="41">
        <f t="shared" si="20"/>
        <v>5538.85</v>
      </c>
      <c r="L338" s="41">
        <f t="shared" si="20"/>
        <v>174698.59999999998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100320.51999999999</v>
      </c>
      <c r="G352" s="41">
        <f>G338</f>
        <v>29101.13</v>
      </c>
      <c r="H352" s="41">
        <f>H338</f>
        <v>21201</v>
      </c>
      <c r="I352" s="41">
        <f>I338</f>
        <v>10971.55</v>
      </c>
      <c r="J352" s="41">
        <f>J338</f>
        <v>7565.55</v>
      </c>
      <c r="K352" s="47">
        <f>K338+K351</f>
        <v>5538.85</v>
      </c>
      <c r="L352" s="41">
        <f>L338+L351</f>
        <v>174698.59999999998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38289.160000000003</v>
      </c>
      <c r="G358" s="18">
        <v>3624.45</v>
      </c>
      <c r="H358" s="18">
        <v>23101.66</v>
      </c>
      <c r="I358" s="18">
        <v>50199.73</v>
      </c>
      <c r="J358" s="18">
        <v>1082.4000000000001</v>
      </c>
      <c r="K358" s="18"/>
      <c r="L358" s="13">
        <f>SUM(F358:K358)</f>
        <v>116297.4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38289.160000000003</v>
      </c>
      <c r="G362" s="47">
        <f t="shared" si="22"/>
        <v>3624.45</v>
      </c>
      <c r="H362" s="47">
        <f t="shared" si="22"/>
        <v>23101.66</v>
      </c>
      <c r="I362" s="47">
        <f t="shared" si="22"/>
        <v>50199.73</v>
      </c>
      <c r="J362" s="47">
        <f t="shared" si="22"/>
        <v>1082.4000000000001</v>
      </c>
      <c r="K362" s="47">
        <f t="shared" si="22"/>
        <v>0</v>
      </c>
      <c r="L362" s="47">
        <f t="shared" si="22"/>
        <v>116297.4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46706.61</v>
      </c>
      <c r="G367" s="18"/>
      <c r="H367" s="18"/>
      <c r="I367" s="56">
        <f>SUM(F367:H367)</f>
        <v>46706.61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3493.12</v>
      </c>
      <c r="G368" s="63"/>
      <c r="H368" s="63"/>
      <c r="I368" s="56">
        <f>SUM(F368:H368)</f>
        <v>3493.12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50199.73</v>
      </c>
      <c r="G369" s="47">
        <f>SUM(G367:G368)</f>
        <v>0</v>
      </c>
      <c r="H369" s="47">
        <f>SUM(H367:H368)</f>
        <v>0</v>
      </c>
      <c r="I369" s="47">
        <f>SUM(I367:I368)</f>
        <v>50199.73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30000</v>
      </c>
      <c r="H396" s="18"/>
      <c r="I396" s="18"/>
      <c r="J396" s="24" t="s">
        <v>289</v>
      </c>
      <c r="K396" s="24" t="s">
        <v>289</v>
      </c>
      <c r="L396" s="56">
        <f t="shared" si="26"/>
        <v>30000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30000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30000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30000</v>
      </c>
      <c r="H408" s="47">
        <f>H393+H401+H407</f>
        <v>0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30000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>
        <v>250771.7</v>
      </c>
      <c r="H440" s="18"/>
      <c r="I440" s="56">
        <f t="shared" si="33"/>
        <v>250771.7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250771.7</v>
      </c>
      <c r="H446" s="13">
        <f>SUM(H439:H445)</f>
        <v>0</v>
      </c>
      <c r="I446" s="13">
        <f>SUM(I439:I445)</f>
        <v>250771.7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250771.7</v>
      </c>
      <c r="H459" s="18"/>
      <c r="I459" s="56">
        <f t="shared" si="34"/>
        <v>250771.7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250771.7</v>
      </c>
      <c r="H460" s="83">
        <f>SUM(H454:H459)</f>
        <v>0</v>
      </c>
      <c r="I460" s="83">
        <f>SUM(I454:I459)</f>
        <v>250771.7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250771.7</v>
      </c>
      <c r="H461" s="42">
        <f>H452+H460</f>
        <v>0</v>
      </c>
      <c r="I461" s="42">
        <f>I452+I460</f>
        <v>250771.7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222029.47</v>
      </c>
      <c r="G465" s="18"/>
      <c r="H465" s="18"/>
      <c r="I465" s="18"/>
      <c r="J465" s="18">
        <v>220771.7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6492111.5099999998</v>
      </c>
      <c r="G468" s="18">
        <v>116297.4</v>
      </c>
      <c r="H468" s="18">
        <v>174698.6</v>
      </c>
      <c r="I468" s="18"/>
      <c r="J468" s="18">
        <v>30000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6492111.5099999998</v>
      </c>
      <c r="G470" s="53">
        <f>SUM(G468:G469)</f>
        <v>116297.4</v>
      </c>
      <c r="H470" s="53">
        <f>SUM(H468:H469)</f>
        <v>174698.6</v>
      </c>
      <c r="I470" s="53">
        <f>SUM(I468:I469)</f>
        <v>0</v>
      </c>
      <c r="J470" s="53">
        <f>SUM(J468:J469)</f>
        <v>30000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6327952.8+30000</f>
        <v>6357952.7999999998</v>
      </c>
      <c r="G472" s="18">
        <v>116297.4</v>
      </c>
      <c r="H472" s="18">
        <v>174698.6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>
        <v>10758.38</v>
      </c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6368711.1799999997</v>
      </c>
      <c r="G474" s="53">
        <f>SUM(G472:G473)</f>
        <v>116297.4</v>
      </c>
      <c r="H474" s="53">
        <f>SUM(H472:H473)</f>
        <v>174698.6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345429.79999999981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250771.7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 t="s">
        <v>914</v>
      </c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3200000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4.87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1230769</v>
      </c>
      <c r="G495" s="18"/>
      <c r="H495" s="18"/>
      <c r="I495" s="18"/>
      <c r="J495" s="18"/>
      <c r="K495" s="53">
        <f>SUM(F495:J495)</f>
        <v>1230769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164103</v>
      </c>
      <c r="G497" s="18"/>
      <c r="H497" s="18"/>
      <c r="I497" s="18"/>
      <c r="J497" s="18"/>
      <c r="K497" s="53">
        <f t="shared" si="35"/>
        <v>164103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1066666.72</v>
      </c>
      <c r="G498" s="204"/>
      <c r="H498" s="204"/>
      <c r="I498" s="204"/>
      <c r="J498" s="204"/>
      <c r="K498" s="205">
        <f t="shared" si="35"/>
        <v>1066666.72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181813.28</v>
      </c>
      <c r="G499" s="18"/>
      <c r="H499" s="18"/>
      <c r="I499" s="18"/>
      <c r="J499" s="18"/>
      <c r="K499" s="53">
        <f t="shared" si="35"/>
        <v>181813.28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1248480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1248480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164103</v>
      </c>
      <c r="G501" s="204"/>
      <c r="H501" s="204"/>
      <c r="I501" s="204"/>
      <c r="J501" s="204"/>
      <c r="K501" s="205">
        <f t="shared" si="35"/>
        <v>164103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49948.72</v>
      </c>
      <c r="G502" s="18"/>
      <c r="H502" s="18"/>
      <c r="I502" s="18"/>
      <c r="J502" s="18"/>
      <c r="K502" s="53">
        <f t="shared" si="35"/>
        <v>49948.72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214051.72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214051.72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>
        <v>51079.72</v>
      </c>
      <c r="G507" s="144">
        <v>1905.32</v>
      </c>
      <c r="H507" s="144">
        <v>420.24</v>
      </c>
      <c r="I507" s="144">
        <v>52564.800000000003</v>
      </c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460069.99</v>
      </c>
      <c r="G521" s="18">
        <v>292960.15000000002</v>
      </c>
      <c r="H521" s="18">
        <f>186150.1-46678.28</f>
        <v>139471.82</v>
      </c>
      <c r="I521" s="18">
        <v>334.36</v>
      </c>
      <c r="J521" s="18"/>
      <c r="K521" s="18"/>
      <c r="L521" s="88">
        <f>SUM(F521:K521)</f>
        <v>892836.32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v>46678.28</v>
      </c>
      <c r="I523" s="18"/>
      <c r="J523" s="18"/>
      <c r="K523" s="18"/>
      <c r="L523" s="88">
        <f>SUM(F523:K523)</f>
        <v>46678.28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460069.99</v>
      </c>
      <c r="G524" s="108">
        <f t="shared" ref="G524:L524" si="36">SUM(G521:G523)</f>
        <v>292960.15000000002</v>
      </c>
      <c r="H524" s="108">
        <f t="shared" si="36"/>
        <v>186150.1</v>
      </c>
      <c r="I524" s="108">
        <f t="shared" si="36"/>
        <v>334.36</v>
      </c>
      <c r="J524" s="108">
        <f t="shared" si="36"/>
        <v>0</v>
      </c>
      <c r="K524" s="108">
        <f t="shared" si="36"/>
        <v>0</v>
      </c>
      <c r="L524" s="89">
        <f t="shared" si="36"/>
        <v>939514.6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38102.089999999997</v>
      </c>
      <c r="G526" s="18">
        <v>18756.38</v>
      </c>
      <c r="H526" s="18">
        <v>196.65</v>
      </c>
      <c r="I526" s="18">
        <v>196.65</v>
      </c>
      <c r="J526" s="18">
        <v>196.65</v>
      </c>
      <c r="K526" s="18">
        <v>503.42</v>
      </c>
      <c r="L526" s="88">
        <f>SUM(F526:K526)</f>
        <v>57951.840000000004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38102.089999999997</v>
      </c>
      <c r="G529" s="89">
        <f t="shared" ref="G529:L529" si="37">SUM(G526:G528)</f>
        <v>18756.38</v>
      </c>
      <c r="H529" s="89">
        <f t="shared" si="37"/>
        <v>196.65</v>
      </c>
      <c r="I529" s="89">
        <f t="shared" si="37"/>
        <v>196.65</v>
      </c>
      <c r="J529" s="89">
        <f t="shared" si="37"/>
        <v>196.65</v>
      </c>
      <c r="K529" s="89">
        <f t="shared" si="37"/>
        <v>503.42</v>
      </c>
      <c r="L529" s="89">
        <f t="shared" si="37"/>
        <v>57951.840000000004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f>172465.76*0.3933</f>
        <v>67830.783408000003</v>
      </c>
      <c r="G531" s="18">
        <f>29765.49*0.3933</f>
        <v>11706.767217000001</v>
      </c>
      <c r="H531" s="18">
        <f>839.5*0.3933</f>
        <v>330.17534999999998</v>
      </c>
      <c r="I531" s="18">
        <v>0</v>
      </c>
      <c r="J531" s="18">
        <f>4415.93*0.3933</f>
        <v>1736.785269</v>
      </c>
      <c r="K531" s="18"/>
      <c r="L531" s="88">
        <f>SUM(F531:K531)</f>
        <v>81604.511244000008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67830.783408000003</v>
      </c>
      <c r="G534" s="89">
        <f t="shared" ref="G534:L534" si="38">SUM(G531:G533)</f>
        <v>11706.767217000001</v>
      </c>
      <c r="H534" s="89">
        <f t="shared" si="38"/>
        <v>330.17534999999998</v>
      </c>
      <c r="I534" s="89">
        <f t="shared" si="38"/>
        <v>0</v>
      </c>
      <c r="J534" s="89">
        <f t="shared" si="38"/>
        <v>1736.785269</v>
      </c>
      <c r="K534" s="89">
        <f t="shared" si="38"/>
        <v>0</v>
      </c>
      <c r="L534" s="89">
        <f t="shared" si="38"/>
        <v>81604.511244000008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22071.77</v>
      </c>
      <c r="I541" s="18"/>
      <c r="J541" s="18"/>
      <c r="K541" s="18"/>
      <c r="L541" s="88">
        <f>SUM(F541:K541)</f>
        <v>22071.77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7019.12</v>
      </c>
      <c r="I543" s="18"/>
      <c r="J543" s="18"/>
      <c r="K543" s="18"/>
      <c r="L543" s="88">
        <f>SUM(F543:K543)</f>
        <v>7019.12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29090.89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29090.89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566002.86340799998</v>
      </c>
      <c r="G545" s="89">
        <f t="shared" ref="G545:L545" si="41">G524+G529+G534+G539+G544</f>
        <v>323423.29721700004</v>
      </c>
      <c r="H545" s="89">
        <f t="shared" si="41"/>
        <v>215767.81534999999</v>
      </c>
      <c r="I545" s="89">
        <f t="shared" si="41"/>
        <v>531.01</v>
      </c>
      <c r="J545" s="89">
        <f t="shared" si="41"/>
        <v>1933.4352690000001</v>
      </c>
      <c r="K545" s="89">
        <f t="shared" si="41"/>
        <v>503.42</v>
      </c>
      <c r="L545" s="89">
        <f t="shared" si="41"/>
        <v>1108161.8412439998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892836.32</v>
      </c>
      <c r="G549" s="87">
        <f>L526</f>
        <v>57951.840000000004</v>
      </c>
      <c r="H549" s="87">
        <f>L531</f>
        <v>81604.511244000008</v>
      </c>
      <c r="I549" s="87">
        <f>L536</f>
        <v>0</v>
      </c>
      <c r="J549" s="87">
        <f>L541</f>
        <v>22071.77</v>
      </c>
      <c r="K549" s="87">
        <f>SUM(F549:J549)</f>
        <v>1054464.4412439999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46678.28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7019.12</v>
      </c>
      <c r="K551" s="87">
        <f>SUM(F551:J551)</f>
        <v>53697.4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939514.6</v>
      </c>
      <c r="G552" s="89">
        <f t="shared" si="42"/>
        <v>57951.840000000004</v>
      </c>
      <c r="H552" s="89">
        <f t="shared" si="42"/>
        <v>81604.511244000008</v>
      </c>
      <c r="I552" s="89">
        <f t="shared" si="42"/>
        <v>0</v>
      </c>
      <c r="J552" s="89">
        <f t="shared" si="42"/>
        <v>29090.89</v>
      </c>
      <c r="K552" s="89">
        <f t="shared" si="42"/>
        <v>1108161.8412439998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1207749</v>
      </c>
      <c r="I575" s="87">
        <f>SUM(F575:H575)</f>
        <v>1207749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64140.17</v>
      </c>
      <c r="G579" s="18"/>
      <c r="H579" s="18">
        <v>46152.68</v>
      </c>
      <c r="I579" s="87">
        <f t="shared" si="47"/>
        <v>110292.85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142836.68</v>
      </c>
      <c r="I591" s="18"/>
      <c r="J591" s="18">
        <v>71985.320000000007</v>
      </c>
      <c r="K591" s="104">
        <f t="shared" ref="K591:K597" si="48">SUM(H591:J591)</f>
        <v>214822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22071.77</v>
      </c>
      <c r="I592" s="18"/>
      <c r="J592" s="18">
        <v>7019.12</v>
      </c>
      <c r="K592" s="104">
        <f t="shared" si="48"/>
        <v>29090.89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9089.75</v>
      </c>
      <c r="I594" s="18"/>
      <c r="J594" s="18"/>
      <c r="K594" s="104">
        <f t="shared" si="48"/>
        <v>9089.75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3549.42</v>
      </c>
      <c r="I595" s="18"/>
      <c r="J595" s="18"/>
      <c r="K595" s="104">
        <f t="shared" si="48"/>
        <v>3549.42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177547.62</v>
      </c>
      <c r="I598" s="108">
        <f>SUM(I591:I597)</f>
        <v>0</v>
      </c>
      <c r="J598" s="108">
        <f>SUM(J591:J597)</f>
        <v>79004.44</v>
      </c>
      <c r="K598" s="108">
        <f>SUM(K591:K597)</f>
        <v>256552.06000000003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145480.73-1082.4</f>
        <v>144398.33000000002</v>
      </c>
      <c r="I604" s="18"/>
      <c r="J604" s="18"/>
      <c r="K604" s="104">
        <f>SUM(H604:J604)</f>
        <v>144398.33000000002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144398.33000000002</v>
      </c>
      <c r="I605" s="108">
        <f>SUM(I602:I604)</f>
        <v>0</v>
      </c>
      <c r="J605" s="108">
        <f>SUM(J602:J604)</f>
        <v>0</v>
      </c>
      <c r="K605" s="108">
        <f>SUM(K602:K604)</f>
        <v>144398.33000000002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353922.96</v>
      </c>
      <c r="H617" s="109">
        <f>SUM(F52)</f>
        <v>353922.95999999996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0</v>
      </c>
      <c r="H618" s="109">
        <f>SUM(G52)</f>
        <v>0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27425.8</v>
      </c>
      <c r="H619" s="109">
        <f>SUM(H52)</f>
        <v>27425.8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250771.7</v>
      </c>
      <c r="H621" s="109">
        <f>SUM(J52)</f>
        <v>250771.7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345429.8</v>
      </c>
      <c r="H622" s="109">
        <f>F476</f>
        <v>345429.79999999981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250771.7</v>
      </c>
      <c r="H626" s="109">
        <f>J476</f>
        <v>250771.7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6492111.5100000007</v>
      </c>
      <c r="H627" s="104">
        <f>SUM(F468)</f>
        <v>6492111.5099999998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116297.40000000001</v>
      </c>
      <c r="H628" s="104">
        <f>SUM(G468)</f>
        <v>116297.4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174698.59999999998</v>
      </c>
      <c r="H629" s="104">
        <f>SUM(H468)</f>
        <v>174698.6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30000</v>
      </c>
      <c r="H631" s="104">
        <f>SUM(J468)</f>
        <v>30000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6357952.7999999998</v>
      </c>
      <c r="H632" s="104">
        <f>SUM(F472)</f>
        <v>6357952.7999999998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174698.59999999998</v>
      </c>
      <c r="H633" s="104">
        <f>SUM(H472)</f>
        <v>174698.6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50199.73</v>
      </c>
      <c r="H634" s="104">
        <f>I369</f>
        <v>50199.73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116297.4</v>
      </c>
      <c r="H635" s="104">
        <f>SUM(G472)</f>
        <v>116297.4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30000</v>
      </c>
      <c r="H637" s="164">
        <f>SUM(J468)</f>
        <v>30000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250771.7</v>
      </c>
      <c r="H640" s="104">
        <f>SUM(G461)</f>
        <v>250771.7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250771.7</v>
      </c>
      <c r="H642" s="104">
        <f>SUM(I461)</f>
        <v>250771.7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0</v>
      </c>
      <c r="H644" s="104">
        <f>H408</f>
        <v>0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30000</v>
      </c>
      <c r="H645" s="104">
        <f>G408</f>
        <v>30000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30000</v>
      </c>
      <c r="H646" s="104">
        <f>L408</f>
        <v>30000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256552.06000000003</v>
      </c>
      <c r="H647" s="104">
        <f>L208+L226+L244</f>
        <v>256552.06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144398.33000000002</v>
      </c>
      <c r="H648" s="104">
        <f>(J257+J338)-(J255+J336)</f>
        <v>144398.32999999999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177547.62</v>
      </c>
      <c r="H649" s="104">
        <f>H598</f>
        <v>177547.62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79004.44</v>
      </c>
      <c r="H651" s="104">
        <f>J598</f>
        <v>79004.44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19705.689999999999</v>
      </c>
      <c r="H652" s="104">
        <f>K263+K345</f>
        <v>19705.689999999999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30000</v>
      </c>
      <c r="H655" s="104">
        <f>K266+K347</f>
        <v>30000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5044365.08</v>
      </c>
      <c r="G660" s="19">
        <f>(L229+L309+L359)</f>
        <v>0</v>
      </c>
      <c r="H660" s="19">
        <f>(L247+L328+L360)</f>
        <v>1332906.1199999999</v>
      </c>
      <c r="I660" s="19">
        <f>SUM(F660:H660)</f>
        <v>6377271.2000000002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19862.650000000001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19862.650000000001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177547.62</v>
      </c>
      <c r="G662" s="19">
        <f>(L226+L306)-(J226+J306)</f>
        <v>0</v>
      </c>
      <c r="H662" s="19">
        <f>(L244+L325)-(J244+J325)</f>
        <v>79004.44</v>
      </c>
      <c r="I662" s="19">
        <f>SUM(F662:H662)</f>
        <v>256552.06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208538.5</v>
      </c>
      <c r="G663" s="199">
        <f>SUM(G575:G587)+SUM(I602:I604)+L612</f>
        <v>0</v>
      </c>
      <c r="H663" s="199">
        <f>SUM(H575:H587)+SUM(J602:J604)+L613</f>
        <v>1253901.68</v>
      </c>
      <c r="I663" s="19">
        <f>SUM(F663:H663)</f>
        <v>1462440.18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4638416.3100000005</v>
      </c>
      <c r="G664" s="19">
        <f>G660-SUM(G661:G663)</f>
        <v>0</v>
      </c>
      <c r="H664" s="19">
        <f>H660-SUM(H661:H663)</f>
        <v>0</v>
      </c>
      <c r="I664" s="19">
        <f>I660-SUM(I661:I663)</f>
        <v>4638416.3100000005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206.85</v>
      </c>
      <c r="G665" s="248">
        <v>0</v>
      </c>
      <c r="H665" s="248"/>
      <c r="I665" s="19">
        <f>SUM(F665:H665)</f>
        <v>206.85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22424.06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22424.06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22424.06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22424.06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45" sqref="B45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Tamworth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1478589.5</v>
      </c>
      <c r="C9" s="229">
        <f>'DOE25'!G197+'DOE25'!G215+'DOE25'!G233+'DOE25'!G276+'DOE25'!G295+'DOE25'!G314</f>
        <v>711193.51</v>
      </c>
    </row>
    <row r="10" spans="1:3" x14ac:dyDescent="0.2">
      <c r="A10" t="s">
        <v>779</v>
      </c>
      <c r="B10" s="240">
        <v>1472382</v>
      </c>
      <c r="C10" s="240">
        <v>709957.41</v>
      </c>
    </row>
    <row r="11" spans="1:3" x14ac:dyDescent="0.2">
      <c r="A11" t="s">
        <v>780</v>
      </c>
      <c r="B11" s="240">
        <v>6207.5</v>
      </c>
      <c r="C11" s="240">
        <v>1236.0999999999999</v>
      </c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1478589.5</v>
      </c>
      <c r="C13" s="231">
        <f>SUM(C10:C12)</f>
        <v>711193.51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460069.99</v>
      </c>
      <c r="C18" s="229">
        <f>'DOE25'!G198+'DOE25'!G216+'DOE25'!G234+'DOE25'!G277+'DOE25'!G296+'DOE25'!G315</f>
        <v>292960.15000000002</v>
      </c>
    </row>
    <row r="19" spans="1:3" x14ac:dyDescent="0.2">
      <c r="A19" t="s">
        <v>779</v>
      </c>
      <c r="B19" s="240">
        <v>234315.11</v>
      </c>
      <c r="C19" s="240">
        <v>110913.98</v>
      </c>
    </row>
    <row r="20" spans="1:3" x14ac:dyDescent="0.2">
      <c r="A20" t="s">
        <v>780</v>
      </c>
      <c r="B20" s="240">
        <v>225754.88</v>
      </c>
      <c r="C20" s="240">
        <v>182046.17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460069.99</v>
      </c>
      <c r="C22" s="231">
        <f>SUM(C19:C21)</f>
        <v>292960.15000000002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3850</v>
      </c>
      <c r="C36" s="235">
        <f>'DOE25'!G200+'DOE25'!G218+'DOE25'!G236+'DOE25'!G279+'DOE25'!G298+'DOE25'!G317</f>
        <v>521.76</v>
      </c>
    </row>
    <row r="37" spans="1:3" x14ac:dyDescent="0.2">
      <c r="A37" t="s">
        <v>779</v>
      </c>
      <c r="B37" s="240">
        <v>3850</v>
      </c>
      <c r="C37" s="240">
        <v>521.76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3850</v>
      </c>
      <c r="C40" s="231">
        <f>SUM(C37:C39)</f>
        <v>521.76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8" activePane="bottomLeft" state="frozen"/>
      <selection activeCell="F46" sqref="F46"/>
      <selection pane="bottomLeft" activeCell="D10" sqref="D1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Tamworth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4331141.0799999991</v>
      </c>
      <c r="D5" s="20">
        <f>SUM('DOE25'!L197:L200)+SUM('DOE25'!L215:L218)+SUM('DOE25'!L233:L236)-F5-G5</f>
        <v>4280983.9899999993</v>
      </c>
      <c r="E5" s="243"/>
      <c r="F5" s="255">
        <f>SUM('DOE25'!J197:J200)+SUM('DOE25'!J215:J218)+SUM('DOE25'!J233:J236)</f>
        <v>50082.09</v>
      </c>
      <c r="G5" s="53">
        <f>SUM('DOE25'!K197:K200)+SUM('DOE25'!K215:K218)+SUM('DOE25'!K233:K236)</f>
        <v>75</v>
      </c>
      <c r="H5" s="259"/>
    </row>
    <row r="6" spans="1:9" x14ac:dyDescent="0.2">
      <c r="A6" s="32">
        <v>2100</v>
      </c>
      <c r="B6" t="s">
        <v>801</v>
      </c>
      <c r="C6" s="245">
        <f t="shared" si="0"/>
        <v>408579.54</v>
      </c>
      <c r="D6" s="20">
        <f>'DOE25'!L202+'DOE25'!L220+'DOE25'!L238-F6-G6</f>
        <v>408243.36</v>
      </c>
      <c r="E6" s="243"/>
      <c r="F6" s="255">
        <f>'DOE25'!J202+'DOE25'!J220+'DOE25'!J238</f>
        <v>336.18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106960.57999999999</v>
      </c>
      <c r="D7" s="20">
        <f>'DOE25'!L203+'DOE25'!L221+'DOE25'!L239-F7-G7</f>
        <v>106960.57999999999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174279.49</v>
      </c>
      <c r="D8" s="243"/>
      <c r="E8" s="20">
        <f>'DOE25'!L204+'DOE25'!L222+'DOE25'!L240-F8-G8-D9-D11</f>
        <v>170653.09999999998</v>
      </c>
      <c r="F8" s="255">
        <f>'DOE25'!J204+'DOE25'!J222+'DOE25'!J240</f>
        <v>0</v>
      </c>
      <c r="G8" s="53">
        <f>'DOE25'!K204+'DOE25'!K222+'DOE25'!K240</f>
        <v>3626.39</v>
      </c>
      <c r="H8" s="259"/>
    </row>
    <row r="9" spans="1:9" x14ac:dyDescent="0.2">
      <c r="A9" s="32">
        <v>2310</v>
      </c>
      <c r="B9" t="s">
        <v>818</v>
      </c>
      <c r="C9" s="245">
        <f t="shared" si="0"/>
        <v>18276.689999999999</v>
      </c>
      <c r="D9" s="244">
        <v>18276.689999999999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9000</v>
      </c>
      <c r="D10" s="243"/>
      <c r="E10" s="244">
        <v>9000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81604.509999999995</v>
      </c>
      <c r="D11" s="244">
        <v>81604.509999999995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226442.93000000002</v>
      </c>
      <c r="D12" s="20">
        <f>'DOE25'!L205+'DOE25'!L223+'DOE25'!L241-F12-G12</f>
        <v>224824.46000000002</v>
      </c>
      <c r="E12" s="243"/>
      <c r="F12" s="255">
        <f>'DOE25'!J205+'DOE25'!J223+'DOE25'!J241</f>
        <v>0</v>
      </c>
      <c r="G12" s="53">
        <f>'DOE25'!K205+'DOE25'!K223+'DOE25'!K241</f>
        <v>1618.47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482438.32</v>
      </c>
      <c r="D14" s="20">
        <f>'DOE25'!L207+'DOE25'!L225+'DOE25'!L243-F14-G14</f>
        <v>396023.81</v>
      </c>
      <c r="E14" s="243"/>
      <c r="F14" s="255">
        <f>'DOE25'!J207+'DOE25'!J225+'DOE25'!J243</f>
        <v>86414.51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256552.06</v>
      </c>
      <c r="D15" s="20">
        <f>'DOE25'!L208+'DOE25'!L226+'DOE25'!L244-F15-G15</f>
        <v>256552.06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221971.91</v>
      </c>
      <c r="D25" s="243"/>
      <c r="E25" s="243"/>
      <c r="F25" s="258"/>
      <c r="G25" s="256"/>
      <c r="H25" s="257">
        <f>'DOE25'!L260+'DOE25'!L261+'DOE25'!L341+'DOE25'!L342</f>
        <v>221971.91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69590.789999999994</v>
      </c>
      <c r="D29" s="20">
        <f>'DOE25'!L358+'DOE25'!L359+'DOE25'!L360-'DOE25'!I367-F29-G29</f>
        <v>68508.39</v>
      </c>
      <c r="E29" s="243"/>
      <c r="F29" s="255">
        <f>'DOE25'!J358+'DOE25'!J359+'DOE25'!J360</f>
        <v>1082.4000000000001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174698.59999999998</v>
      </c>
      <c r="D31" s="20">
        <f>'DOE25'!L290+'DOE25'!L309+'DOE25'!L328+'DOE25'!L333+'DOE25'!L334+'DOE25'!L335-F31-G31</f>
        <v>161594.19999999998</v>
      </c>
      <c r="E31" s="243"/>
      <c r="F31" s="255">
        <f>'DOE25'!J290+'DOE25'!J309+'DOE25'!J328+'DOE25'!J333+'DOE25'!J334+'DOE25'!J335</f>
        <v>7565.55</v>
      </c>
      <c r="G31" s="53">
        <f>'DOE25'!K290+'DOE25'!K309+'DOE25'!K328+'DOE25'!K333+'DOE25'!K334+'DOE25'!K335</f>
        <v>5538.85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6003572.0499999989</v>
      </c>
      <c r="E33" s="246">
        <f>SUM(E5:E31)</f>
        <v>179653.09999999998</v>
      </c>
      <c r="F33" s="246">
        <f>SUM(F5:F31)</f>
        <v>145480.72999999998</v>
      </c>
      <c r="G33" s="246">
        <f>SUM(G5:G31)</f>
        <v>10858.71</v>
      </c>
      <c r="H33" s="246">
        <f>SUM(H5:H31)</f>
        <v>221971.91</v>
      </c>
    </row>
    <row r="35" spans="2:8" ht="12" thickBot="1" x14ac:dyDescent="0.25">
      <c r="B35" s="253" t="s">
        <v>847</v>
      </c>
      <c r="D35" s="254">
        <f>E33</f>
        <v>179653.09999999998</v>
      </c>
      <c r="E35" s="249"/>
    </row>
    <row r="36" spans="2:8" ht="12" thickTop="1" x14ac:dyDescent="0.2">
      <c r="B36" t="s">
        <v>815</v>
      </c>
      <c r="D36" s="20">
        <f>D33</f>
        <v>6003572.0499999989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Tamworth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-112509.65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2067.5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250771.7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171477.08</v>
      </c>
      <c r="D11" s="95">
        <f>'DOE25'!G12</f>
        <v>0</v>
      </c>
      <c r="E11" s="95">
        <f>'DOE25'!H12</f>
        <v>-17090.8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16606.38</v>
      </c>
      <c r="D12" s="95">
        <f>'DOE25'!G13</f>
        <v>0</v>
      </c>
      <c r="E12" s="95">
        <f>'DOE25'!H13</f>
        <v>44516.6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259479.08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16802.57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353922.96</v>
      </c>
      <c r="D18" s="41">
        <f>SUM(D8:D17)</f>
        <v>0</v>
      </c>
      <c r="E18" s="41">
        <f>SUM(E8:E17)</f>
        <v>27425.8</v>
      </c>
      <c r="F18" s="41">
        <f>SUM(F8:F17)</f>
        <v>0</v>
      </c>
      <c r="G18" s="41">
        <f>SUM(G8:G17)</f>
        <v>250771.7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26508.09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8493.16</v>
      </c>
      <c r="D23" s="95">
        <f>'DOE25'!G24</f>
        <v>0</v>
      </c>
      <c r="E23" s="95">
        <f>'DOE25'!H24</f>
        <v>917.71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8493.16</v>
      </c>
      <c r="D31" s="41">
        <f>SUM(D21:D30)</f>
        <v>0</v>
      </c>
      <c r="E31" s="41">
        <f>SUM(E21:E30)</f>
        <v>27425.8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30000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135924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250771.7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28234.71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151271.09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345429.8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250771.7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353922.95999999996</v>
      </c>
      <c r="D51" s="41">
        <f>D50+D31</f>
        <v>0</v>
      </c>
      <c r="E51" s="41">
        <f>E50+E31</f>
        <v>27425.8</v>
      </c>
      <c r="F51" s="41">
        <f>F50+F31</f>
        <v>0</v>
      </c>
      <c r="G51" s="41">
        <f>G50+G31</f>
        <v>250771.7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4674597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360.42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19862.650000000001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71257.81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71618.23</v>
      </c>
      <c r="D62" s="130">
        <f>SUM(D57:D61)</f>
        <v>19862.650000000001</v>
      </c>
      <c r="E62" s="130">
        <f>SUM(E57:E61)</f>
        <v>0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4746215.2300000004</v>
      </c>
      <c r="D63" s="22">
        <f>D56+D62</f>
        <v>19862.650000000001</v>
      </c>
      <c r="E63" s="22">
        <f>E56+E62</f>
        <v>0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812135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762352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1574487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49083.360000000001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26004.89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18211.98</v>
      </c>
      <c r="D77" s="95">
        <f>SUM('DOE25'!G131:G135)</f>
        <v>174.18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93300.23</v>
      </c>
      <c r="D78" s="130">
        <f>SUM(D72:D77)</f>
        <v>174.18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1667787.23</v>
      </c>
      <c r="D81" s="130">
        <f>SUM(D79:D80)+D78+D70</f>
        <v>174.18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77984</v>
      </c>
      <c r="D88" s="95">
        <f>SUM('DOE25'!G153:G161)</f>
        <v>76554.880000000005</v>
      </c>
      <c r="E88" s="95">
        <f>SUM('DOE25'!H153:H161)</f>
        <v>174698.59999999998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125.05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78109.05</v>
      </c>
      <c r="D91" s="131">
        <f>SUM(D85:D90)</f>
        <v>76554.880000000005</v>
      </c>
      <c r="E91" s="131">
        <f>SUM(E85:E90)</f>
        <v>174698.59999999998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19705.689999999999</v>
      </c>
      <c r="E96" s="95">
        <f>'DOE25'!H179</f>
        <v>0</v>
      </c>
      <c r="F96" s="95">
        <f>'DOE25'!I179</f>
        <v>0</v>
      </c>
      <c r="G96" s="95">
        <f>'DOE25'!J179</f>
        <v>30000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19705.689999999999</v>
      </c>
      <c r="E103" s="86">
        <f>SUM(E93:E102)</f>
        <v>0</v>
      </c>
      <c r="F103" s="86">
        <f>SUM(F93:F102)</f>
        <v>0</v>
      </c>
      <c r="G103" s="86">
        <f>SUM(G93:G102)</f>
        <v>30000</v>
      </c>
    </row>
    <row r="104" spans="1:7" ht="12.75" thickTop="1" thickBot="1" x14ac:dyDescent="0.25">
      <c r="A104" s="33" t="s">
        <v>765</v>
      </c>
      <c r="C104" s="86">
        <f>C63+C81+C91+C103</f>
        <v>6492111.5100000007</v>
      </c>
      <c r="D104" s="86">
        <f>D63+D81+D91+D103</f>
        <v>116297.40000000001</v>
      </c>
      <c r="E104" s="86">
        <f>E63+E81+E91+E103</f>
        <v>174698.59999999998</v>
      </c>
      <c r="F104" s="86">
        <f>F63+F81+F91+F103</f>
        <v>0</v>
      </c>
      <c r="G104" s="86">
        <f>G63+G81+G103</f>
        <v>30000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3376855.6099999994</v>
      </c>
      <c r="D109" s="24" t="s">
        <v>289</v>
      </c>
      <c r="E109" s="95">
        <f>('DOE25'!L276)+('DOE25'!L295)+('DOE25'!L314)</f>
        <v>131367.41999999998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939514.60000000009</v>
      </c>
      <c r="D110" s="24" t="s">
        <v>289</v>
      </c>
      <c r="E110" s="95">
        <f>('DOE25'!L277)+('DOE25'!L296)+('DOE25'!L315)</f>
        <v>2901.87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14770.87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4331141.0799999991</v>
      </c>
      <c r="D115" s="86">
        <f>SUM(D109:D114)</f>
        <v>0</v>
      </c>
      <c r="E115" s="86">
        <f>SUM(E109:E114)</f>
        <v>134269.28999999998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408579.54</v>
      </c>
      <c r="D118" s="24" t="s">
        <v>289</v>
      </c>
      <c r="E118" s="95">
        <f>+('DOE25'!L281)+('DOE25'!L300)+('DOE25'!L319)</f>
        <v>696.18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106960.57999999999</v>
      </c>
      <c r="D119" s="24" t="s">
        <v>289</v>
      </c>
      <c r="E119" s="95">
        <f>+('DOE25'!L282)+('DOE25'!L301)+('DOE25'!L320)</f>
        <v>34194.28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274160.69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226442.93000000002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5538.85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482438.32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256552.06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116297.4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1755134.12</v>
      </c>
      <c r="D128" s="86">
        <f>SUM(D118:D127)</f>
        <v>116297.4</v>
      </c>
      <c r="E128" s="86">
        <f>SUM(E118:E127)</f>
        <v>40429.31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164102.56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57869.35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19705.689999999999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30000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0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271677.59999999998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6357952.7999999989</v>
      </c>
      <c r="D145" s="86">
        <f>(D115+D128+D144)</f>
        <v>116297.4</v>
      </c>
      <c r="E145" s="86">
        <f>(E115+E128+E144)</f>
        <v>174698.59999999998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2003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08/23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3200000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4.87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1230769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1230769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164103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164103</v>
      </c>
    </row>
    <row r="159" spans="1:9" x14ac:dyDescent="0.2">
      <c r="A159" s="22" t="s">
        <v>35</v>
      </c>
      <c r="B159" s="137">
        <f>'DOE25'!F498</f>
        <v>1066666.72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1066666.72</v>
      </c>
    </row>
    <row r="160" spans="1:9" x14ac:dyDescent="0.2">
      <c r="A160" s="22" t="s">
        <v>36</v>
      </c>
      <c r="B160" s="137">
        <f>'DOE25'!F499</f>
        <v>181813.28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181813.28</v>
      </c>
    </row>
    <row r="161" spans="1:7" x14ac:dyDescent="0.2">
      <c r="A161" s="22" t="s">
        <v>37</v>
      </c>
      <c r="B161" s="137">
        <f>'DOE25'!F500</f>
        <v>1248480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1248480</v>
      </c>
    </row>
    <row r="162" spans="1:7" x14ac:dyDescent="0.2">
      <c r="A162" s="22" t="s">
        <v>38</v>
      </c>
      <c r="B162" s="137">
        <f>'DOE25'!F501</f>
        <v>164103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164103</v>
      </c>
    </row>
    <row r="163" spans="1:7" x14ac:dyDescent="0.2">
      <c r="A163" s="22" t="s">
        <v>39</v>
      </c>
      <c r="B163" s="137">
        <f>'DOE25'!F502</f>
        <v>49948.72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49948.72</v>
      </c>
    </row>
    <row r="164" spans="1:7" x14ac:dyDescent="0.2">
      <c r="A164" s="22" t="s">
        <v>246</v>
      </c>
      <c r="B164" s="137">
        <f>'DOE25'!F503</f>
        <v>214051.72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214051.72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Tamworth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22424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22424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3508223</v>
      </c>
      <c r="D10" s="182">
        <f>ROUND((C10/$C$28)*100,1)</f>
        <v>54.7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942416</v>
      </c>
      <c r="D11" s="182">
        <f>ROUND((C11/$C$28)*100,1)</f>
        <v>14.7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14771</v>
      </c>
      <c r="D13" s="182">
        <f>ROUND((C13/$C$28)*100,1)</f>
        <v>0.2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409276</v>
      </c>
      <c r="D15" s="182">
        <f t="shared" ref="D15:D27" si="0">ROUND((C15/$C$28)*100,1)</f>
        <v>6.4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141155</v>
      </c>
      <c r="D16" s="182">
        <f t="shared" si="0"/>
        <v>2.2000000000000002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274161</v>
      </c>
      <c r="D17" s="182">
        <f t="shared" si="0"/>
        <v>4.3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226443</v>
      </c>
      <c r="D18" s="182">
        <f t="shared" si="0"/>
        <v>3.5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5539</v>
      </c>
      <c r="D19" s="182">
        <f t="shared" si="0"/>
        <v>0.1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482438</v>
      </c>
      <c r="D20" s="182">
        <f t="shared" si="0"/>
        <v>7.5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256552</v>
      </c>
      <c r="D21" s="182">
        <f t="shared" si="0"/>
        <v>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57869</v>
      </c>
      <c r="D25" s="182">
        <f t="shared" si="0"/>
        <v>0.9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96434.35</v>
      </c>
      <c r="D27" s="182">
        <f t="shared" si="0"/>
        <v>1.5</v>
      </c>
    </row>
    <row r="28" spans="1:4" x14ac:dyDescent="0.2">
      <c r="B28" s="187" t="s">
        <v>723</v>
      </c>
      <c r="C28" s="180">
        <f>SUM(C10:C27)</f>
        <v>6415277.3499999996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6415277.3499999996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164103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4674597</v>
      </c>
      <c r="D35" s="182">
        <f t="shared" ref="D35:D40" si="1">ROUND((C35/$C$41)*100,1)</f>
        <v>69.3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71618.230000000447</v>
      </c>
      <c r="D36" s="182">
        <f t="shared" si="1"/>
        <v>1.1000000000000001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1574487</v>
      </c>
      <c r="D37" s="182">
        <f t="shared" si="1"/>
        <v>23.3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93474</v>
      </c>
      <c r="D38" s="182">
        <f t="shared" si="1"/>
        <v>1.4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329363</v>
      </c>
      <c r="D39" s="182">
        <f t="shared" si="1"/>
        <v>4.9000000000000004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6743539.2300000004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770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767</v>
      </c>
      <c r="B2" s="295"/>
      <c r="C2" s="295"/>
      <c r="D2" s="295"/>
      <c r="E2" s="295"/>
      <c r="F2" s="292" t="str">
        <f>'DOE25'!A2</f>
        <v>Tamworth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0" t="s">
        <v>771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848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2016-09-01T16:53:16Z</cp:lastPrinted>
  <dcterms:created xsi:type="dcterms:W3CDTF">1997-12-04T19:04:30Z</dcterms:created>
  <dcterms:modified xsi:type="dcterms:W3CDTF">2016-10-27T17:11:33Z</dcterms:modified>
</cp:coreProperties>
</file>