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" i="10" s="1"/>
  <c r="L199" i="1"/>
  <c r="L200" i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E121" i="2" s="1"/>
  <c r="L285" i="1"/>
  <c r="L286" i="1"/>
  <c r="L287" i="1"/>
  <c r="C21" i="10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5" i="10"/>
  <c r="C16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2" i="2"/>
  <c r="E122" i="2"/>
  <c r="C123" i="2"/>
  <c r="E123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H642" i="1"/>
  <c r="G643" i="1"/>
  <c r="H643" i="1"/>
  <c r="G644" i="1"/>
  <c r="G645" i="1"/>
  <c r="H645" i="1"/>
  <c r="G649" i="1"/>
  <c r="G650" i="1"/>
  <c r="G651" i="1"/>
  <c r="G652" i="1"/>
  <c r="H652" i="1"/>
  <c r="G653" i="1"/>
  <c r="H653" i="1"/>
  <c r="G654" i="1"/>
  <c r="H654" i="1"/>
  <c r="H655" i="1"/>
  <c r="F192" i="1"/>
  <c r="G164" i="2"/>
  <c r="C26" i="10"/>
  <c r="L328" i="1"/>
  <c r="L351" i="1"/>
  <c r="L290" i="1"/>
  <c r="A31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571" i="1"/>
  <c r="K571" i="1"/>
  <c r="L433" i="1"/>
  <c r="L419" i="1"/>
  <c r="D81" i="2"/>
  <c r="I169" i="1"/>
  <c r="H169" i="1"/>
  <c r="G552" i="1"/>
  <c r="J643" i="1"/>
  <c r="H476" i="1"/>
  <c r="H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J640" i="1"/>
  <c r="J634" i="1"/>
  <c r="H571" i="1"/>
  <c r="L560" i="1"/>
  <c r="J545" i="1"/>
  <c r="F338" i="1"/>
  <c r="F352" i="1" s="1"/>
  <c r="H192" i="1"/>
  <c r="F552" i="1"/>
  <c r="C35" i="10"/>
  <c r="L309" i="1"/>
  <c r="D5" i="13"/>
  <c r="C5" i="13" s="1"/>
  <c r="E16" i="13"/>
  <c r="J655" i="1"/>
  <c r="J645" i="1"/>
  <c r="L570" i="1"/>
  <c r="I571" i="1"/>
  <c r="J636" i="1"/>
  <c r="G36" i="2"/>
  <c r="L565" i="1"/>
  <c r="G545" i="1"/>
  <c r="H545" i="1"/>
  <c r="K551" i="1"/>
  <c r="C22" i="13"/>
  <c r="C138" i="2"/>
  <c r="C16" i="13"/>
  <c r="H33" i="13"/>
  <c r="J644" i="1" l="1"/>
  <c r="J639" i="1"/>
  <c r="A13" i="12"/>
  <c r="K598" i="1"/>
  <c r="G647" i="1" s="1"/>
  <c r="I545" i="1"/>
  <c r="L524" i="1"/>
  <c r="L545" i="1" s="1"/>
  <c r="F476" i="1"/>
  <c r="H622" i="1" s="1"/>
  <c r="G661" i="1"/>
  <c r="H661" i="1"/>
  <c r="I661" i="1" s="1"/>
  <c r="L362" i="1"/>
  <c r="C27" i="10" s="1"/>
  <c r="D145" i="2"/>
  <c r="E124" i="2"/>
  <c r="E128" i="2"/>
  <c r="E145" i="2" s="1"/>
  <c r="C18" i="10"/>
  <c r="C17" i="10"/>
  <c r="K271" i="1"/>
  <c r="C121" i="2"/>
  <c r="C110" i="2"/>
  <c r="C115" i="2" s="1"/>
  <c r="C70" i="2"/>
  <c r="J624" i="1"/>
  <c r="H52" i="1"/>
  <c r="H619" i="1" s="1"/>
  <c r="C18" i="2"/>
  <c r="H257" i="1"/>
  <c r="H271" i="1" s="1"/>
  <c r="D15" i="13"/>
  <c r="C15" i="13" s="1"/>
  <c r="H647" i="1"/>
  <c r="J647" i="1" s="1"/>
  <c r="F662" i="1"/>
  <c r="I662" i="1" s="1"/>
  <c r="L211" i="1"/>
  <c r="L257" i="1" s="1"/>
  <c r="L271" i="1" s="1"/>
  <c r="G632" i="1" s="1"/>
  <c r="J632" i="1" s="1"/>
  <c r="J622" i="1"/>
  <c r="J649" i="1"/>
  <c r="K552" i="1"/>
  <c r="H660" i="1"/>
  <c r="E33" i="13"/>
  <c r="D35" i="13" s="1"/>
  <c r="C120" i="2"/>
  <c r="C8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G635" i="1"/>
  <c r="J635" i="1" s="1"/>
  <c r="H664" i="1" l="1"/>
  <c r="H672" i="1" s="1"/>
  <c r="C6" i="10" s="1"/>
  <c r="G664" i="1"/>
  <c r="H667" i="1"/>
  <c r="C28" i="10"/>
  <c r="D23" i="10" s="1"/>
  <c r="C128" i="2"/>
  <c r="C145" i="2"/>
  <c r="F660" i="1"/>
  <c r="F664" i="1" s="1"/>
  <c r="F667" i="1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G667" i="1"/>
  <c r="D16" i="10"/>
  <c r="D10" i="10"/>
  <c r="D18" i="10"/>
  <c r="D15" i="10"/>
  <c r="D24" i="10"/>
  <c r="D17" i="10"/>
  <c r="D20" i="10"/>
  <c r="C30" i="10"/>
  <c r="D27" i="10"/>
  <c r="D26" i="10"/>
  <c r="D12" i="10"/>
  <c r="D25" i="10"/>
  <c r="D19" i="10"/>
  <c r="D13" i="10"/>
  <c r="D11" i="10"/>
  <c r="D21" i="10"/>
  <c r="D22" i="10"/>
  <c r="F672" i="1"/>
  <c r="C4" i="10" s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<sst xmlns="http://schemas.openxmlformats.org/spreadsheetml/2006/main" count="3957" uniqueCount="915">
  <si>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</si>
  <si>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</si>
  <si>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</si>
  <si>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</si>
  <si>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</si>
  <si>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</si>
  <si>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</si>
  <si>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</si>
  <si>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</si>
  <si>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</si>
  <si>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</si>
  <si>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</si>
  <si>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</si>
  <si>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</si>
  <si>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</si>
  <si>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</si>
  <si>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</si>
  <si>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</si>
  <si>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</si>
  <si>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</si>
  <si>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</si>
  <si>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</si>
  <si>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</si>
  <si>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</si>
  <si>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</si>
  <si>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</si>
  <si>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</si>
  <si>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</si>
  <si>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</si>
  <si>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</si>
  <si>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</si>
  <si>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</si>
  <si>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</si>
  <si>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</si>
  <si>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</si>
  <si>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</si>
  <si>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</si>
  <si>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</si>
  <si>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</si>
  <si>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</si>
  <si>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</si>
  <si>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</si>
  <si>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</si>
  <si>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</si>
  <si>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</si>
  <si>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</si>
  <si>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</si>
  <si>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</si>
  <si>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</si>
  <si>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</si>
  <si>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</si>
  <si>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</si>
  <si>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</si>
  <si>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</si>
  <si>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</si>
  <si>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</si>
  <si>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</si>
  <si>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</si>
  <si>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</si>
  <si>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</si>
  <si>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</si>
  <si>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</si>
  <si>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</si>
  <si>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</si>
  <si>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</si>
  <si>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</si>
  <si>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</si>
  <si>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</si>
  <si>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</si>
  <si>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</si>
  <si>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</si>
  <si>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</si>
  <si>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</si>
  <si>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</si>
  <si>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</si>
  <si>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</si>
  <si>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</si>
  <si>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</si>
  <si>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</si>
  <si>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</si>
  <si>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</si>
  <si>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</si>
  <si>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</si>
  <si>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</si>
  <si>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</si>
  <si>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</si>
  <si>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</si>
  <si>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</si>
  <si>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</si>
  <si>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</si>
  <si>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</si>
  <si>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</si>
  <si>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</si>
  <si>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</si>
  <si>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</si>
  <si>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</si>
  <si>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</si>
  <si>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</si>
  <si>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</si>
  <si>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</si>
  <si>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</si>
  <si>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</si>
  <si>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</si>
  <si>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</si>
  <si>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</si>
  <si>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</si>
  <si>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</si>
  <si>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</si>
  <si>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</si>
  <si>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</si>
  <si>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</si>
  <si>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</si>
  <si>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</si>
  <si>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</si>
  <si>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</si>
  <si>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</si>
  <si>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</si>
  <si>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</si>
  <si>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</si>
  <si>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</si>
  <si>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</si>
  <si>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</si>
  <si>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</si>
  <si>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</si>
  <si>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</si>
  <si>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</si>
  <si>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</si>
  <si>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</si>
  <si>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</si>
  <si>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</si>
  <si>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</si>
  <si>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</si>
  <si>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</si>
  <si>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</si>
  <si>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</si>
  <si>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</si>
  <si>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</si>
  <si>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</si>
  <si>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</si>
  <si>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</si>
  <si>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</si>
  <si>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</si>
  <si>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</si>
  <si>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</si>
  <si>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</si>
  <si>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</si>
  <si>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</si>
  <si>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</si>
  <si>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</si>
  <si>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</si>
  <si>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</si>
  <si>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</si>
  <si>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</si>
  <si>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</si>
  <si>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</si>
  <si>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</si>
  <si>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</si>
  <si>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</si>
  <si>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</si>
  <si>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</si>
  <si>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</si>
  <si>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</si>
  <si>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</si>
  <si>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</si>
  <si>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</si>
  <si>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</si>
  <si>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</si>
  <si>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</si>
  <si>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</si>
  <si>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</si>
  <si>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</si>
  <si>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</si>
  <si>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</si>
  <si>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</si>
  <si>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</si>
  <si>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</si>
  <si>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</si>
  <si>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</si>
  <si>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</si>
  <si>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</si>
  <si>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</si>
  <si>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</si>
  <si>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</si>
  <si>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</si>
  <si>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</si>
  <si>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</si>
  <si>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</si>
  <si>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</si>
  <si>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</si>
  <si>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</si>
  <si>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</si>
  <si>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</si>
  <si>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</si>
  <si>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</si>
  <si>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</si>
  <si>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</si>
  <si>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</si>
  <si>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</si>
  <si>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</si>
  <si>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</si>
  <si>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</si>
  <si>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</si>
  <si>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</si>
  <si>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</si>
  <si>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</si>
  <si>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</si>
  <si>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</si>
  <si>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</si>
  <si>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</si>
  <si>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</si>
  <si>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</si>
  <si>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</si>
  <si>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</si>
  <si>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</si>
  <si>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</si>
  <si>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</si>
  <si>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</si>
  <si>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</si>
  <si>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</si>
  <si>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</si>
  <si>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</si>
  <si>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</si>
  <si>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</si>
  <si>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</si>
  <si>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</si>
  <si>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</si>
  <si>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</si>
  <si>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</si>
  <si>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</si>
  <si>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</si>
  <si>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</si>
  <si>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</si>
  <si>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</si>
  <si>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</si>
  <si>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</si>
  <si>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</si>
  <si>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</si>
  <si>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</si>
  <si>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</si>
  <si>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</si>
  <si>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</si>
  <si>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</si>
  <si>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</si>
  <si>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</si>
  <si>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</si>
  <si>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</si>
  <si>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</si>
  <si>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</si>
  <si>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</si>
  <si>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</si>
  <si>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</si>
  <si>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</si>
  <si>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</si>
  <si>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</si>
  <si>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</si>
  <si>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</si>
  <si>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</si>
  <si>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</si>
  <si>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</si>
  <si>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</si>
  <si>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</si>
  <si>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</si>
  <si>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</si>
  <si>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</si>
  <si>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</si>
  <si>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</si>
  <si>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</si>
  <si>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</si>
  <si>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</si>
  <si>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</si>
  <si>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</si>
  <si>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</si>
  <si>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</si>
  <si>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</si>
  <si>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</si>
  <si>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</si>
  <si>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</si>
  <si>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</si>
  <si>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</si>
  <si>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</si>
  <si>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</si>
  <si>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</si>
  <si>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</si>
  <si>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</si>
  <si>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</si>
  <si>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</si>
  <si>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</si>
  <si>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</si>
  <si>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</si>
  <si>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</si>
  <si>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</si>
  <si>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</si>
  <si>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</si>
  <si>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</si>
  <si>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</si>
  <si>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</si>
  <si>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</si>
  <si>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</si>
  <si>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</si>
  <si>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</si>
  <si>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</si>
  <si>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</si>
  <si>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</si>
  <si>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</si>
  <si>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</si>
  <si>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</si>
  <si>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</si>
  <si>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</si>
  <si>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</si>
  <si>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</si>
  <si>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</si>
  <si>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</si>
  <si>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</si>
  <si>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</si>
  <si>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</si>
  <si>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</si>
  <si>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</si>
  <si>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</si>
  <si>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</si>
  <si>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</si>
  <si>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</si>
  <si>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</si>
  <si>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</si>
  <si>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</si>
  <si>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</si>
  <si>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</si>
  <si>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</si>
  <si>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</si>
  <si>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</si>
  <si>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</si>
  <si>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</si>
  <si>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</si>
  <si>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</si>
  <si>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</si>
  <si>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</si>
  <si>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</si>
  <si>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</si>
  <si>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</si>
  <si>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</si>
  <si>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</si>
  <si>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</si>
  <si>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</si>
  <si>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</si>
  <si>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</si>
  <si>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</si>
  <si>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</si>
  <si>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</si>
  <si>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</si>
  <si>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</si>
  <si>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</si>
  <si>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</si>
  <si>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</si>
  <si>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</si>
  <si>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</si>
  <si>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</si>
  <si>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</si>
  <si>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</si>
  <si>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</si>
  <si>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</si>
  <si>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</si>
  <si>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</si>
  <si>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</si>
  <si>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</si>
  <si>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</si>
  <si>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</si>
  <si>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</si>
  <si>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</si>
  <si>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</si>
  <si>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</si>
  <si>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</si>
  <si>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</si>
  <si>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</si>
  <si>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</si>
  <si>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</si>
  <si>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</si>
  <si>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</si>
  <si>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</si>
  <si>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</si>
  <si>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</si>
  <si>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</si>
  <si>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</si>
  <si>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</si>
  <si>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</si>
  <si>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</si>
  <si>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</si>
  <si>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</si>
  <si>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</si>
  <si>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</si>
  <si>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</si>
  <si>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</si>
  <si>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</si>
  <si>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</si>
  <si>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</si>
  <si>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</si>
  <si>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</si>
  <si>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</si>
  <si>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</si>
  <si>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</si>
  <si>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</si>
  <si>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</si>
  <si>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</si>
  <si>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</si>
  <si>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</si>
  <si>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</si>
  <si>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</si>
  <si>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</si>
  <si>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</si>
  <si>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</si>
  <si>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</si>
  <si>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</si>
  <si>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</si>
  <si>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</si>
  <si>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</si>
  <si>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</si>
  <si>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</si>
  <si>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</si>
  <si>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</si>
  <si>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</si>
  <si>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</si>
  <si>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</si>
  <si>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</si>
  <si>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</si>
  <si>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</si>
  <si>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</si>
  <si>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</si>
  <si>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</si>
  <si>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</si>
  <si>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</si>
  <si>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</si>
  <si>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</si>
  <si>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</si>
  <si>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</si>
  <si>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</si>
  <si>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</si>
  <si>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</si>
  <si>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</si>
  <si>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</si>
  <si>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</si>
  <si>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</si>
  <si>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</si>
  <si>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</si>
  <si>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</si>
  <si>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</si>
  <si>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</si>
  <si>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</si>
  <si>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</si>
  <si>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</si>
  <si>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</si>
  <si>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</si>
  <si>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</si>
  <si>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</si>
  <si>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</si>
  <si>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</si>
  <si>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</si>
  <si>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</si>
  <si>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</si>
  <si>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</si>
  <si>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</si>
  <si>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</si>
  <si>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</si>
  <si>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</si>
  <si>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</si>
  <si>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</si>
  <si>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</si>
  <si>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</si>
  <si>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</si>
  <si>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</si>
  <si>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</si>
  <si>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</si>
  <si>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</si>
  <si>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</si>
  <si>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</si>
  <si>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</si>
  <si>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</si>
  <si>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</si>
  <si>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</si>
  <si>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</si>
  <si>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</si>
  <si>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</si>
  <si>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</si>
  <si>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</si>
  <si>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</si>
  <si>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</si>
  <si>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</si>
  <si>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</si>
  <si>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</si>
  <si>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</si>
  <si>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</si>
  <si>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</si>
  <si>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</si>
  <si>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</si>
  <si>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</si>
  <si>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</si>
  <si>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</si>
  <si>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</si>
  <si>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</si>
  <si>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</si>
  <si>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</si>
  <si>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</si>
  <si>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</si>
  <si>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</si>
  <si>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</si>
  <si>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</si>
  <si>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</si>
  <si>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</si>
  <si>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</si>
  <si>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</si>
  <si>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</si>
  <si>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</si>
  <si>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</si>
  <si>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</si>
  <si>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</si>
  <si>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</si>
  <si>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</si>
  <si>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</si>
  <si>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</si>
  <si>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</si>
  <si>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</si>
  <si>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</si>
  <si>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</si>
  <si>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</si>
  <si>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</si>
  <si>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</si>
  <si>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</si>
  <si>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</si>
  <si>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</si>
  <si>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</si>
  <si>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</si>
  <si>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</si>
  <si>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</si>
  <si>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</si>
  <si>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</si>
  <si>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</si>
  <si>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</si>
  <si>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</si>
  <si>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</si>
  <si>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</si>
  <si>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</si>
  <si>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</si>
  <si>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</si>
  <si>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</si>
  <si>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</si>
  <si>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</si>
  <si>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</si>
  <si>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</si>
  <si>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</si>
  <si>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</si>
  <si>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</si>
  <si>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</si>
  <si>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</si>
  <si>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</si>
  <si>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</si>
  <si>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</si>
  <si>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</si>
  <si>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</si>
  <si>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</si>
  <si>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</si>
  <si>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</si>
  <si>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</si>
  <si>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</si>
  <si>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</si>
  <si>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</si>
  <si>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</si>
  <si>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</si>
  <si>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</si>
  <si>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</si>
  <si>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</si>
  <si>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</si>
  <si>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</si>
  <si>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</si>
  <si>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</si>
  <si>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</si>
  <si>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</si>
  <si>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</si>
  <si>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</si>
  <si>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</si>
  <si>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</si>
  <si>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</si>
  <si>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</si>
  <si>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</si>
  <si>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</si>
  <si>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</si>
  <si>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</si>
  <si>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</si>
  <si>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</si>
  <si>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</si>
  <si>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</si>
  <si>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</si>
  <si>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</si>
  <si>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</si>
  <si>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</si>
  <si>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</si>
  <si>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</si>
  <si>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</si>
  <si>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</si>
  <si>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</si>
  <si>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</si>
  <si>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</si>
  <si>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</si>
  <si>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</si>
  <si>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</si>
  <si>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</si>
  <si>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</si>
  <si>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</si>
  <si>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</si>
  <si>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</si>
  <si>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</si>
  <si>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</si>
  <si>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</si>
  <si>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</si>
  <si>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</si>
  <si>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</si>
  <si>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</si>
  <si>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</si>
  <si>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</si>
  <si>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</si>
  <si>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</si>
  <si>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</si>
  <si>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</si>
  <si>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</si>
  <si>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</si>
  <si>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</si>
  <si>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</si>
  <si>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</si>
  <si>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</si>
  <si>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</si>
  <si>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</si>
  <si>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</si>
  <si>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</si>
  <si>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</si>
  <si>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</si>
  <si>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</si>
  <si>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</si>
  <si>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</si>
  <si>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</si>
  <si>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</si>
  <si>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</si>
  <si>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</si>
  <si>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</si>
  <si>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</si>
  <si>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</si>
  <si>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</si>
  <si>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</si>
  <si>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</si>
  <si>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</si>
  <si>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</si>
  <si>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</si>
  <si>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</si>
  <si>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</si>
  <si>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</si>
  <si>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</si>
  <si>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</si>
  <si>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</si>
  <si>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</si>
  <si>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</si>
  <si>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</si>
  <si>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</si>
  <si>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</si>
  <si>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</si>
  <si>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</si>
  <si>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</si>
  <si>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</si>
  <si>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</si>
  <si>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</si>
  <si>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</si>
  <si>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</si>
  <si>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</si>
  <si>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</si>
  <si>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</si>
  <si>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</si>
  <si>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</si>
  <si>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</si>
  <si>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</si>
  <si>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</si>
  <si>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</si>
  <si>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</si>
  <si>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</si>
  <si>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</si>
  <si>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</si>
  <si>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</si>
  <si>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</si>
  <si>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</si>
  <si>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</si>
  <si>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</si>
  <si>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</si>
  <si>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</si>
  <si>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</si>
  <si>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</si>
  <si>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</si>
  <si>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</si>
  <si>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</si>
  <si>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</si>
  <si>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</si>
  <si>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</si>
  <si>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</si>
  <si>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</si>
  <si>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</si>
  <si>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</si>
  <si>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</si>
  <si>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</si>
  <si>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</si>
  <si>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</si>
  <si>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</si>
  <si>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</si>
  <si>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</si>
  <si>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</si>
  <si>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</si>
  <si>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</si>
  <si>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</si>
  <si>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</si>
  <si>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</si>
  <si>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</si>
  <si>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</si>
  <si>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</si>
  <si>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</si>
  <si>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</si>
  <si>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</si>
  <si>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</si>
  <si>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</si>
  <si>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</si>
  <si>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</si>
  <si>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</si>
  <si>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</si>
  <si>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</si>
  <si>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</si>
  <si>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</si>
  <si>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</si>
  <si>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</si>
  <si>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</si>
  <si>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</si>
  <si>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</si>
  <si>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</si>
  <si>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</si>
  <si>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</si>
  <si>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</si>
  <si>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</si>
  <si>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</si>
  <si>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</si>
  <si>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</si>
  <si>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</si>
  <si>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</si>
  <si>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</si>
  <si>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</si>
  <si>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</si>
  <si>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</si>
  <si>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</si>
  <si>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</si>
  <si>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</si>
  <si>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</si>
  <si>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</si>
  <si>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</si>
  <si>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</si>
  <si>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</si>
  <si>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</si>
  <si>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</si>
  <si>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</si>
  <si>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</si>
  <si>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</si>
  <si>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</si>
  <si>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</si>
  <si>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</si>
  <si>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</si>
  <si>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</si>
  <si>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</si>
  <si>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</si>
  <si>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</si>
  <si>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</si>
  <si>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</si>
  <si>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</si>
  <si>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</si>
  <si>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</si>
  <si>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</si>
  <si>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</si>
  <si>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</si>
  <si>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</si>
  <si>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</si>
  <si>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</si>
  <si>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</si>
  <si>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</si>
  <si>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</si>
  <si>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</si>
  <si>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</si>
  <si>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</si>
  <si>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</si>
  <si>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</si>
  <si>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</si>
  <si>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</si>
  <si>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</si>
  <si>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</si>
  <si>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</si>
  <si>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</si>
  <si>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</si>
  <si>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</si>
  <si>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</si>
  <si>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</si>
  <si>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</si>
  <si>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</si>
  <si>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</si>
  <si>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</si>
  <si>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</si>
  <si>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</si>
  <si>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</si>
  <si>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</si>
  <si>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</si>
  <si>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</si>
  <si>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</si>
  <si>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</si>
  <si>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</si>
  <si>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</si>
  <si>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</si>
  <si>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</si>
  <si>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</si>
  <si>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</si>
  <si>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</si>
  <si>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</si>
  <si>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</si>
  <si>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</si>
  <si>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</si>
  <si>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</si>
  <si>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</si>
  <si>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</si>
  <si>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</si>
  <si>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</si>
  <si>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</si>
  <si>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</si>
  <si>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</si>
  <si>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</si>
  <si>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</si>
  <si>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</si>
  <si>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</si>
  <si>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</si>
  <si>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</si>
  <si>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</si>
  <si>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</si>
  <si>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</si>
  <si>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</si>
  <si>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</si>
  <si>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</si>
  <si>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</si>
  <si>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</si>
  <si>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</si>
  <si>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</si>
  <si>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</si>
  <si>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</si>
  <si>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</si>
  <si>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</si>
  <si>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</si>
  <si>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</si>
  <si>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</si>
  <si>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</si>
  <si>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</si>
  <si>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</si>
  <si>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</si>
  <si>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</si>
  <si>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</si>
  <si>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</si>
  <si>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</si>
  <si>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</si>
  <si>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</si>
  <si>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</si>
  <si>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</si>
  <si>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</si>
  <si>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</si>
  <si>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</si>
  <si>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</si>
  <si>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</si>
  <si>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</si>
  <si>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</si>
  <si>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</si>
  <si>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</si>
  <si>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</si>
  <si>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</si>
  <si>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</si>
  <si>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</si>
  <si>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</si>
  <si>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</si>
  <si>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</si>
  <si>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</si>
  <si>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</si>
  <si>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</si>
  <si>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</si>
  <si>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</si>
  <si>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</si>
  <si>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</si>
  <si>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</si>
  <si>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</si>
  <si>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</si>
  <si>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</si>
  <si>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</si>
  <si>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</si>
  <si>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</si>
  <si>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</si>
  <si>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</si>
  <si>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</si>
  <si>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</si>
  <si>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</si>
  <si>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</si>
  <si>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</si>
  <si>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</si>
  <si>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</si>
  <si>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</si>
  <si>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</si>
  <si>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</si>
  <si>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</si>
  <si>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</si>
  <si>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</si>
  <si>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</si>
  <si>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</si>
  <si>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</si>
  <si>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</si>
  <si>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</si>
  <si>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</si>
  <si>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THORNTON SCHOOL DISTRICT</t>
  </si>
  <si>
    <t>07/10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</si>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</sst>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53</v>
      </c>
      <c r="C2" s="21">
        <v>531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201228.36</v>
      </c>
      <c r="G9" s="18">
        <v>-7018.59</v>
      </c>
      <c r="H9" s="18">
        <v>-9220.01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1112.42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1500</v>
      </c>
      <c r="G13" s="18">
        <v>8154.98</v>
      </c>
      <c r="H13" s="18">
        <v>13702.37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2283.2800000000002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205011.63999999998</v>
      </c>
      <c r="G19" s="41">
        <f>SUM(G9:G18)</f>
        <v>1136.3899999999994</v>
      </c>
      <c r="H19" s="41">
        <f>SUM(H9:H18)</f>
        <v>4482.3600000000006</v>
      </c>
      <c r="I19" s="41">
        <f>SUM(I9:I18)</f>
        <v>0</v>
      </c>
      <c r="J19" s="41">
        <f>SUM(J9:J18)</f>
        <v>1112.42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8065.92</v>
      </c>
      <c r="G24" s="18"/>
      <c r="H24" s="18">
        <v>725.56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>
        <v>47.37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1089.02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8065.92</v>
      </c>
      <c r="G32" s="41">
        <f>SUM(G22:G31)</f>
        <v>1136.3899999999999</v>
      </c>
      <c r="H32" s="41">
        <f>SUM(H22:H31)</f>
        <v>725.56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3756.8</v>
      </c>
      <c r="I48" s="18"/>
      <c r="J48" s="13">
        <f>SUM(I459)</f>
        <v>1112.42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93910.42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103035.3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196945.72</v>
      </c>
      <c r="G51" s="41">
        <f>SUM(G35:G50)</f>
        <v>0</v>
      </c>
      <c r="H51" s="41">
        <f>SUM(H35:H50)</f>
        <v>3756.8</v>
      </c>
      <c r="I51" s="41">
        <f>SUM(I35:I50)</f>
        <v>0</v>
      </c>
      <c r="J51" s="41">
        <f>SUM(J35:J50)</f>
        <v>1112.42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205011.64</v>
      </c>
      <c r="G52" s="41">
        <f>G51+G32</f>
        <v>1136.3899999999999</v>
      </c>
      <c r="H52" s="41">
        <f>H51+H32</f>
        <v>4482.3600000000006</v>
      </c>
      <c r="I52" s="41">
        <f>I51+I32</f>
        <v>0</v>
      </c>
      <c r="J52" s="41">
        <f>J51+J32</f>
        <v>1112.42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2960847.53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2960847.53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51.96</v>
      </c>
      <c r="G96" s="18"/>
      <c r="H96" s="18"/>
      <c r="I96" s="18"/>
      <c r="J96" s="18">
        <v>32.93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19954.07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2502.41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24475.73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27330.1</v>
      </c>
      <c r="G111" s="41">
        <f>SUM(G96:G110)</f>
        <v>19954.07</v>
      </c>
      <c r="H111" s="41">
        <f>SUM(H96:H110)</f>
        <v>0</v>
      </c>
      <c r="I111" s="41">
        <f>SUM(I96:I110)</f>
        <v>0</v>
      </c>
      <c r="J111" s="41">
        <f>SUM(J96:J110)</f>
        <v>32.93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2988177.63</v>
      </c>
      <c r="G112" s="41">
        <f>G60+G111</f>
        <v>19954.07</v>
      </c>
      <c r="H112" s="41">
        <f>H60+H79+H94+H111</f>
        <v>0</v>
      </c>
      <c r="I112" s="41">
        <f>I60+I111</f>
        <v>0</v>
      </c>
      <c r="J112" s="41">
        <f>J60+J111</f>
        <v>32.93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399540.47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644614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1044154.47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100909.1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861.02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100909.1</v>
      </c>
      <c r="G136" s="41">
        <f>SUM(G123:G135)</f>
        <v>861.02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1145063.57</v>
      </c>
      <c r="G140" s="41">
        <f>G121+SUM(G136:G137)</f>
        <v>861.02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67871.520000000004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8478.9599999999991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44644.34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63547.08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25967.75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63547.08</v>
      </c>
      <c r="G162" s="41">
        <f>SUM(G150:G161)</f>
        <v>44644.34</v>
      </c>
      <c r="H162" s="41">
        <f>SUM(H150:H161)</f>
        <v>102318.23000000001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8349.57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71896.649999999994</v>
      </c>
      <c r="G169" s="41">
        <f>G147+G162+SUM(G163:G168)</f>
        <v>44644.34</v>
      </c>
      <c r="H169" s="41">
        <f>H147+H162+SUM(H163:H168)</f>
        <v>102318.23000000001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45667.519999999997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45667.519999999997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45667.519999999997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4205137.8500000006</v>
      </c>
      <c r="G193" s="47">
        <f>G112+G140+G169+G192</f>
        <v>111126.94999999998</v>
      </c>
      <c r="H193" s="47">
        <f>H112+H140+H169+H192</f>
        <v>102318.23000000001</v>
      </c>
      <c r="I193" s="47">
        <f>I112+I140+I169+I192</f>
        <v>0</v>
      </c>
      <c r="J193" s="47">
        <f>J112+J140+J192</f>
        <v>32.93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1150329.1200000001</v>
      </c>
      <c r="G197" s="18">
        <v>482162.16</v>
      </c>
      <c r="H197" s="18">
        <v>10783.87</v>
      </c>
      <c r="I197" s="18">
        <v>51669.95</v>
      </c>
      <c r="J197" s="18">
        <v>28829.59</v>
      </c>
      <c r="K197" s="18">
        <v>5031.5</v>
      </c>
      <c r="L197" s="19">
        <f>SUM(F197:K197)</f>
        <v>1728806.1900000002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381476.84</v>
      </c>
      <c r="G198" s="18">
        <v>153645.73000000001</v>
      </c>
      <c r="H198" s="18">
        <v>179378.35</v>
      </c>
      <c r="I198" s="18">
        <v>3358.25</v>
      </c>
      <c r="J198" s="18">
        <v>3182.93</v>
      </c>
      <c r="K198" s="18"/>
      <c r="L198" s="19">
        <f>SUM(F198:K198)</f>
        <v>721042.10000000009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35484.120000000003</v>
      </c>
      <c r="G200" s="18">
        <v>7896.47</v>
      </c>
      <c r="H200" s="18">
        <v>5200</v>
      </c>
      <c r="I200" s="18">
        <v>8988.61</v>
      </c>
      <c r="J200" s="18"/>
      <c r="K200" s="18">
        <v>1127.1400000000001</v>
      </c>
      <c r="L200" s="19">
        <f>SUM(F200:K200)</f>
        <v>58696.340000000004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65184.480000000003</v>
      </c>
      <c r="G202" s="18">
        <v>30269.58</v>
      </c>
      <c r="H202" s="18">
        <v>190646.6</v>
      </c>
      <c r="I202" s="18">
        <v>2629.35</v>
      </c>
      <c r="J202" s="18">
        <v>740</v>
      </c>
      <c r="K202" s="18"/>
      <c r="L202" s="19">
        <f t="shared" ref="L202:L208" si="0">SUM(F202:K202)</f>
        <v>289470.01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707.12</v>
      </c>
      <c r="G203" s="18">
        <v>35858.06</v>
      </c>
      <c r="H203" s="18">
        <v>44528.06</v>
      </c>
      <c r="I203" s="18">
        <v>2303.94</v>
      </c>
      <c r="J203" s="18"/>
      <c r="K203" s="18"/>
      <c r="L203" s="19">
        <f t="shared" si="0"/>
        <v>83397.179999999993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6415</v>
      </c>
      <c r="G204" s="18">
        <v>457.45</v>
      </c>
      <c r="H204" s="18">
        <v>167940.5</v>
      </c>
      <c r="I204" s="18">
        <v>632.14</v>
      </c>
      <c r="J204" s="18"/>
      <c r="K204" s="18">
        <v>2740.08</v>
      </c>
      <c r="L204" s="19">
        <f t="shared" si="0"/>
        <v>178185.17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164694.91</v>
      </c>
      <c r="G205" s="18">
        <v>93167.039999999994</v>
      </c>
      <c r="H205" s="18">
        <v>2697.65</v>
      </c>
      <c r="I205" s="18">
        <v>839.27</v>
      </c>
      <c r="J205" s="18">
        <v>1087.94</v>
      </c>
      <c r="K205" s="18">
        <v>6065.4</v>
      </c>
      <c r="L205" s="19">
        <f t="shared" si="0"/>
        <v>268552.21000000002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407.74</v>
      </c>
      <c r="I206" s="18"/>
      <c r="J206" s="18"/>
      <c r="K206" s="18"/>
      <c r="L206" s="19">
        <f t="shared" si="0"/>
        <v>407.74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97358.25</v>
      </c>
      <c r="G207" s="18">
        <v>36030.15</v>
      </c>
      <c r="H207" s="18">
        <v>74802.850000000006</v>
      </c>
      <c r="I207" s="18">
        <v>95362.21</v>
      </c>
      <c r="J207" s="18">
        <v>17440.73</v>
      </c>
      <c r="K207" s="18"/>
      <c r="L207" s="19">
        <f t="shared" si="0"/>
        <v>320994.19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156217.15</v>
      </c>
      <c r="I208" s="18"/>
      <c r="J208" s="18"/>
      <c r="K208" s="18"/>
      <c r="L208" s="19">
        <f t="shared" si="0"/>
        <v>156217.15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1901649.8400000003</v>
      </c>
      <c r="G211" s="41">
        <f t="shared" si="1"/>
        <v>839486.64</v>
      </c>
      <c r="H211" s="41">
        <f t="shared" si="1"/>
        <v>832602.77</v>
      </c>
      <c r="I211" s="41">
        <f t="shared" si="1"/>
        <v>165783.72000000003</v>
      </c>
      <c r="J211" s="41">
        <f t="shared" si="1"/>
        <v>51281.19</v>
      </c>
      <c r="K211" s="41">
        <f t="shared" si="1"/>
        <v>14964.12</v>
      </c>
      <c r="L211" s="41">
        <f t="shared" si="1"/>
        <v>3805768.28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69094.25</v>
      </c>
      <c r="I255" s="18"/>
      <c r="J255" s="18"/>
      <c r="K255" s="18"/>
      <c r="L255" s="19">
        <f t="shared" si="6"/>
        <v>69094.25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69094.25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69094.25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1901649.8400000003</v>
      </c>
      <c r="G257" s="41">
        <f t="shared" si="8"/>
        <v>839486.64</v>
      </c>
      <c r="H257" s="41">
        <f t="shared" si="8"/>
        <v>901697.02</v>
      </c>
      <c r="I257" s="41">
        <f t="shared" si="8"/>
        <v>165783.72000000003</v>
      </c>
      <c r="J257" s="41">
        <f t="shared" si="8"/>
        <v>51281.19</v>
      </c>
      <c r="K257" s="41">
        <f t="shared" si="8"/>
        <v>14964.12</v>
      </c>
      <c r="L257" s="41">
        <f t="shared" si="8"/>
        <v>3874862.53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277400</v>
      </c>
      <c r="L260" s="19">
        <f>SUM(F260:K260)</f>
        <v>277400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3291.81</v>
      </c>
      <c r="L261" s="19">
        <f>SUM(F261:K261)</f>
        <v>3291.81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45667.519999999997</v>
      </c>
      <c r="L263" s="19">
        <f>SUM(F263:K263)</f>
        <v>45667.519999999997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326359.33</v>
      </c>
      <c r="L270" s="41">
        <f t="shared" si="9"/>
        <v>326359.33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1901649.8400000003</v>
      </c>
      <c r="G271" s="42">
        <f t="shared" si="11"/>
        <v>839486.64</v>
      </c>
      <c r="H271" s="42">
        <f t="shared" si="11"/>
        <v>901697.02</v>
      </c>
      <c r="I271" s="42">
        <f t="shared" si="11"/>
        <v>165783.72000000003</v>
      </c>
      <c r="J271" s="42">
        <f t="shared" si="11"/>
        <v>51281.19</v>
      </c>
      <c r="K271" s="42">
        <f t="shared" si="11"/>
        <v>341323.45</v>
      </c>
      <c r="L271" s="42">
        <f t="shared" si="11"/>
        <v>4201221.8599999994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40301.24</v>
      </c>
      <c r="G276" s="18">
        <v>21930.54</v>
      </c>
      <c r="H276" s="18"/>
      <c r="I276" s="18">
        <v>8685.06</v>
      </c>
      <c r="J276" s="18">
        <v>15013.77</v>
      </c>
      <c r="K276" s="18"/>
      <c r="L276" s="19">
        <f>SUM(F276:K276)</f>
        <v>85930.61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557.99</v>
      </c>
      <c r="J281" s="18"/>
      <c r="K281" s="18"/>
      <c r="L281" s="19">
        <f t="shared" ref="L281:L287" si="12">SUM(F281:K281)</f>
        <v>557.99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10000</v>
      </c>
      <c r="I282" s="18"/>
      <c r="J282" s="18"/>
      <c r="K282" s="18"/>
      <c r="L282" s="19">
        <f t="shared" si="12"/>
        <v>10000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3455.13</v>
      </c>
      <c r="G283" s="18"/>
      <c r="H283" s="18"/>
      <c r="I283" s="18"/>
      <c r="J283" s="18"/>
      <c r="K283" s="18">
        <v>153.96</v>
      </c>
      <c r="L283" s="19">
        <f t="shared" si="12"/>
        <v>3609.09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>
        <v>474.98</v>
      </c>
      <c r="J284" s="18"/>
      <c r="K284" s="18"/>
      <c r="L284" s="19">
        <f t="shared" si="12"/>
        <v>474.98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1266.56</v>
      </c>
      <c r="L285" s="19">
        <f t="shared" si="12"/>
        <v>1266.56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479</v>
      </c>
      <c r="I287" s="18"/>
      <c r="J287" s="18"/>
      <c r="K287" s="18"/>
      <c r="L287" s="19">
        <f t="shared" si="12"/>
        <v>479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43756.369999999995</v>
      </c>
      <c r="G290" s="42">
        <f t="shared" si="13"/>
        <v>21930.54</v>
      </c>
      <c r="H290" s="42">
        <f t="shared" si="13"/>
        <v>10479</v>
      </c>
      <c r="I290" s="42">
        <f t="shared" si="13"/>
        <v>9718.0299999999988</v>
      </c>
      <c r="J290" s="42">
        <f t="shared" si="13"/>
        <v>15013.77</v>
      </c>
      <c r="K290" s="42">
        <f t="shared" si="13"/>
        <v>1420.52</v>
      </c>
      <c r="L290" s="41">
        <f t="shared" si="13"/>
        <v>102318.23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43756.369999999995</v>
      </c>
      <c r="G338" s="41">
        <f t="shared" si="20"/>
        <v>21930.54</v>
      </c>
      <c r="H338" s="41">
        <f t="shared" si="20"/>
        <v>10479</v>
      </c>
      <c r="I338" s="41">
        <f t="shared" si="20"/>
        <v>9718.0299999999988</v>
      </c>
      <c r="J338" s="41">
        <f t="shared" si="20"/>
        <v>15013.77</v>
      </c>
      <c r="K338" s="41">
        <f t="shared" si="20"/>
        <v>1420.52</v>
      </c>
      <c r="L338" s="41">
        <f t="shared" si="20"/>
        <v>102318.23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43756.369999999995</v>
      </c>
      <c r="G352" s="41">
        <f>G338</f>
        <v>21930.54</v>
      </c>
      <c r="H352" s="41">
        <f>H338</f>
        <v>10479</v>
      </c>
      <c r="I352" s="41">
        <f>I338</f>
        <v>9718.0299999999988</v>
      </c>
      <c r="J352" s="41">
        <f>J338</f>
        <v>15013.77</v>
      </c>
      <c r="K352" s="47">
        <f>K338+K351</f>
        <v>1420.52</v>
      </c>
      <c r="L352" s="41">
        <f>L338+L351</f>
        <v>102318.23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43576.51</v>
      </c>
      <c r="G358" s="18">
        <v>25209.89</v>
      </c>
      <c r="H358" s="18">
        <v>764.04</v>
      </c>
      <c r="I358" s="18">
        <v>40966.51</v>
      </c>
      <c r="J358" s="18"/>
      <c r="K358" s="18">
        <v>610</v>
      </c>
      <c r="L358" s="13">
        <f>SUM(F358:K358)</f>
        <v>111126.94999999998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43576.51</v>
      </c>
      <c r="G362" s="47">
        <f t="shared" si="22"/>
        <v>25209.89</v>
      </c>
      <c r="H362" s="47">
        <f t="shared" si="22"/>
        <v>764.04</v>
      </c>
      <c r="I362" s="47">
        <f t="shared" si="22"/>
        <v>40966.51</v>
      </c>
      <c r="J362" s="47">
        <f t="shared" si="22"/>
        <v>0</v>
      </c>
      <c r="K362" s="47">
        <f t="shared" si="22"/>
        <v>610</v>
      </c>
      <c r="L362" s="47">
        <f t="shared" si="22"/>
        <v>111126.94999999998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40367.379999999997</v>
      </c>
      <c r="G367" s="18"/>
      <c r="H367" s="18"/>
      <c r="I367" s="56">
        <f>SUM(F367:H367)</f>
        <v>40367.379999999997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599.13</v>
      </c>
      <c r="G368" s="63"/>
      <c r="H368" s="63"/>
      <c r="I368" s="56">
        <f>SUM(F368:H368)</f>
        <v>599.13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40966.509999999995</v>
      </c>
      <c r="G369" s="47">
        <f>SUM(G367:G368)</f>
        <v>0</v>
      </c>
      <c r="H369" s="47">
        <f>SUM(H367:H368)</f>
        <v>0</v>
      </c>
      <c r="I369" s="47">
        <f>SUM(I367:I368)</f>
        <v>40966.509999999995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32.93</v>
      </c>
      <c r="I396" s="18"/>
      <c r="J396" s="24" t="s">
        <v>289</v>
      </c>
      <c r="K396" s="24" t="s">
        <v>289</v>
      </c>
      <c r="L396" s="56">
        <f t="shared" si="26"/>
        <v>32.93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32.93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32.93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32.93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32.93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1112.42</v>
      </c>
      <c r="G440" s="18"/>
      <c r="H440" s="18"/>
      <c r="I440" s="56">
        <f t="shared" si="33"/>
        <v>1112.42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1112.42</v>
      </c>
      <c r="G446" s="13">
        <f>SUM(G439:G445)</f>
        <v>0</v>
      </c>
      <c r="H446" s="13">
        <f>SUM(H439:H445)</f>
        <v>0</v>
      </c>
      <c r="I446" s="13">
        <f>SUM(I439:I445)</f>
        <v>1112.42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1112.42</v>
      </c>
      <c r="G459" s="18"/>
      <c r="H459" s="18"/>
      <c r="I459" s="56">
        <f t="shared" si="34"/>
        <v>1112.42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1112.42</v>
      </c>
      <c r="G460" s="83">
        <f>SUM(G454:G459)</f>
        <v>0</v>
      </c>
      <c r="H460" s="83">
        <f>SUM(H454:H459)</f>
        <v>0</v>
      </c>
      <c r="I460" s="83">
        <f>SUM(I454:I459)</f>
        <v>1112.42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1112.42</v>
      </c>
      <c r="G461" s="42">
        <f>G452+G460</f>
        <v>0</v>
      </c>
      <c r="H461" s="42">
        <f>H452+H460</f>
        <v>0</v>
      </c>
      <c r="I461" s="42">
        <f>I452+I460</f>
        <v>1112.42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193029.73</v>
      </c>
      <c r="G465" s="18">
        <v>0</v>
      </c>
      <c r="H465" s="18">
        <v>3756.8</v>
      </c>
      <c r="I465" s="18"/>
      <c r="J465" s="18">
        <v>1079.49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4205137.8499999996</v>
      </c>
      <c r="G468" s="18">
        <v>111126.95</v>
      </c>
      <c r="H468" s="18">
        <v>102318.23</v>
      </c>
      <c r="I468" s="18"/>
      <c r="J468" s="18">
        <v>32.93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4205137.8499999996</v>
      </c>
      <c r="G470" s="53">
        <f>SUM(G468:G469)</f>
        <v>111126.95</v>
      </c>
      <c r="H470" s="53">
        <f>SUM(H468:H469)</f>
        <v>102318.23</v>
      </c>
      <c r="I470" s="53">
        <f>SUM(I468:I469)</f>
        <v>0</v>
      </c>
      <c r="J470" s="53">
        <f>SUM(J468:J469)</f>
        <v>32.93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4201221.8600000003</v>
      </c>
      <c r="G472" s="18">
        <v>111126.95</v>
      </c>
      <c r="H472" s="18">
        <v>102318.23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4201221.8600000003</v>
      </c>
      <c r="G474" s="53">
        <f>SUM(G472:G473)</f>
        <v>111126.95</v>
      </c>
      <c r="H474" s="53">
        <f>SUM(H472:H473)</f>
        <v>102318.23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196945.71999999974</v>
      </c>
      <c r="G476" s="53">
        <f>(G465+G470)- G474</f>
        <v>0</v>
      </c>
      <c r="H476" s="53">
        <f>(H465+H470)- H474</f>
        <v>3756.8000000000029</v>
      </c>
      <c r="I476" s="53">
        <f>(I465+I470)- I474</f>
        <v>0</v>
      </c>
      <c r="J476" s="53">
        <f>(J465+J470)- J474</f>
        <v>1112.42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1387000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277400</v>
      </c>
      <c r="G495" s="18"/>
      <c r="H495" s="18"/>
      <c r="I495" s="18"/>
      <c r="J495" s="18"/>
      <c r="K495" s="53">
        <f>SUM(F495:J495)</f>
        <v>277400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277400</v>
      </c>
      <c r="G497" s="18"/>
      <c r="H497" s="18"/>
      <c r="I497" s="18"/>
      <c r="J497" s="18"/>
      <c r="K497" s="53">
        <f t="shared" si="35"/>
        <v>277400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381476.84</v>
      </c>
      <c r="G521" s="18">
        <v>153645.73000000001</v>
      </c>
      <c r="H521" s="18">
        <v>179378.35</v>
      </c>
      <c r="I521" s="18">
        <v>3354.25</v>
      </c>
      <c r="J521" s="18">
        <v>3182.93</v>
      </c>
      <c r="K521" s="18"/>
      <c r="L521" s="88">
        <f>SUM(F521:K521)</f>
        <v>721038.10000000009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381476.84</v>
      </c>
      <c r="G524" s="108">
        <f t="shared" ref="G524:L524" si="36">SUM(G521:G523)</f>
        <v>153645.73000000001</v>
      </c>
      <c r="H524" s="108">
        <f t="shared" si="36"/>
        <v>179378.35</v>
      </c>
      <c r="I524" s="108">
        <f t="shared" si="36"/>
        <v>3354.25</v>
      </c>
      <c r="J524" s="108">
        <f t="shared" si="36"/>
        <v>3182.93</v>
      </c>
      <c r="K524" s="108">
        <f t="shared" si="36"/>
        <v>0</v>
      </c>
      <c r="L524" s="89">
        <f t="shared" si="36"/>
        <v>721038.10000000009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14988.78</v>
      </c>
      <c r="G526" s="18">
        <v>3707.68</v>
      </c>
      <c r="H526" s="18">
        <v>121045.57</v>
      </c>
      <c r="I526" s="18">
        <v>721.37</v>
      </c>
      <c r="J526" s="18">
        <v>74</v>
      </c>
      <c r="K526" s="18"/>
      <c r="L526" s="88">
        <f>SUM(F526:K526)</f>
        <v>140537.4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14988.78</v>
      </c>
      <c r="G529" s="89">
        <f t="shared" ref="G529:L529" si="37">SUM(G526:G528)</f>
        <v>3707.68</v>
      </c>
      <c r="H529" s="89">
        <f t="shared" si="37"/>
        <v>121045.57</v>
      </c>
      <c r="I529" s="89">
        <f t="shared" si="37"/>
        <v>721.37</v>
      </c>
      <c r="J529" s="89">
        <f t="shared" si="37"/>
        <v>74</v>
      </c>
      <c r="K529" s="89">
        <f t="shared" si="37"/>
        <v>0</v>
      </c>
      <c r="L529" s="89">
        <f t="shared" si="37"/>
        <v>140537.4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14012.81</v>
      </c>
      <c r="G531" s="18">
        <v>5678.5</v>
      </c>
      <c r="H531" s="18">
        <v>186.21</v>
      </c>
      <c r="I531" s="18"/>
      <c r="J531" s="18"/>
      <c r="K531" s="18"/>
      <c r="L531" s="88">
        <f>SUM(F531:K531)</f>
        <v>19877.519999999997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14012.81</v>
      </c>
      <c r="G534" s="89">
        <f t="shared" ref="G534:L534" si="38">SUM(G531:G533)</f>
        <v>5678.5</v>
      </c>
      <c r="H534" s="89">
        <f t="shared" si="38"/>
        <v>186.21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19877.519999999997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32152.9</v>
      </c>
      <c r="I541" s="18"/>
      <c r="J541" s="18"/>
      <c r="K541" s="18"/>
      <c r="L541" s="88">
        <f>SUM(F541:K541)</f>
        <v>32152.9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32152.9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32152.9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410478.43000000005</v>
      </c>
      <c r="G545" s="89">
        <f t="shared" ref="G545:L545" si="41">G524+G529+G534+G539+G544</f>
        <v>163031.91</v>
      </c>
      <c r="H545" s="89">
        <f t="shared" si="41"/>
        <v>332763.03000000009</v>
      </c>
      <c r="I545" s="89">
        <f t="shared" si="41"/>
        <v>4075.62</v>
      </c>
      <c r="J545" s="89">
        <f t="shared" si="41"/>
        <v>3256.93</v>
      </c>
      <c r="K545" s="89">
        <f t="shared" si="41"/>
        <v>0</v>
      </c>
      <c r="L545" s="89">
        <f t="shared" si="41"/>
        <v>913605.92000000016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721038.10000000009</v>
      </c>
      <c r="G549" s="87">
        <f>L526</f>
        <v>140537.4</v>
      </c>
      <c r="H549" s="87">
        <f>L531</f>
        <v>19877.519999999997</v>
      </c>
      <c r="I549" s="87">
        <f>L536</f>
        <v>0</v>
      </c>
      <c r="J549" s="87">
        <f>L541</f>
        <v>32152.9</v>
      </c>
      <c r="K549" s="87">
        <f>SUM(F549:J549)</f>
        <v>913605.92000000016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721038.10000000009</v>
      </c>
      <c r="G552" s="89">
        <f t="shared" si="42"/>
        <v>140537.4</v>
      </c>
      <c r="H552" s="89">
        <f t="shared" si="42"/>
        <v>19877.519999999997</v>
      </c>
      <c r="I552" s="89">
        <f t="shared" si="42"/>
        <v>0</v>
      </c>
      <c r="J552" s="89">
        <f t="shared" si="42"/>
        <v>32152.9</v>
      </c>
      <c r="K552" s="89">
        <f t="shared" si="42"/>
        <v>913605.92000000016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95669.8</v>
      </c>
      <c r="G575" s="18"/>
      <c r="H575" s="18"/>
      <c r="I575" s="87">
        <f>SUM(F575:H575)</f>
        <v>95669.8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110935.25</v>
      </c>
      <c r="I591" s="18"/>
      <c r="J591" s="18"/>
      <c r="K591" s="104">
        <f t="shared" ref="K591:K597" si="48">SUM(H591:J591)</f>
        <v>110935.25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32152.9</v>
      </c>
      <c r="I592" s="18"/>
      <c r="J592" s="18"/>
      <c r="K592" s="104">
        <f t="shared" si="48"/>
        <v>32152.9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3370</v>
      </c>
      <c r="I594" s="18"/>
      <c r="J594" s="18"/>
      <c r="K594" s="104">
        <f t="shared" si="48"/>
        <v>3370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9759</v>
      </c>
      <c r="I595" s="18"/>
      <c r="J595" s="18"/>
      <c r="K595" s="104">
        <f t="shared" si="48"/>
        <v>9759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156217.15</v>
      </c>
      <c r="I598" s="108">
        <f>SUM(I591:I597)</f>
        <v>0</v>
      </c>
      <c r="J598" s="108">
        <f>SUM(J591:J597)</f>
        <v>0</v>
      </c>
      <c r="K598" s="108">
        <f>SUM(K591:K597)</f>
        <v>156217.15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66294.960000000006</v>
      </c>
      <c r="I604" s="18"/>
      <c r="J604" s="18"/>
      <c r="K604" s="104">
        <f>SUM(H604:J604)</f>
        <v>66294.960000000006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66294.960000000006</v>
      </c>
      <c r="I605" s="108">
        <f>SUM(I602:I604)</f>
        <v>0</v>
      </c>
      <c r="J605" s="108">
        <f>SUM(J602:J604)</f>
        <v>0</v>
      </c>
      <c r="K605" s="108">
        <f>SUM(K602:K604)</f>
        <v>66294.960000000006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205011.63999999998</v>
      </c>
      <c r="H617" s="109">
        <f>SUM(F52)</f>
        <v>205011.64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1136.3899999999994</v>
      </c>
      <c r="H618" s="109">
        <f>SUM(G52)</f>
        <v>1136.3899999999999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4482.3600000000006</v>
      </c>
      <c r="H619" s="109">
        <f>SUM(H52)</f>
        <v>4482.3600000000006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1112.42</v>
      </c>
      <c r="H621" s="109">
        <f>SUM(J52)</f>
        <v>1112.42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196945.72</v>
      </c>
      <c r="H622" s="109">
        <f>F476</f>
        <v>196945.71999999974</v>
      </c>
      <c r="I622" s="121" t="s">
        <v>101</v>
      </c>
      <c r="J622" s="109">
        <f t="shared" ref="J622:J655" si="50">G622-H622</f>
        <v>2.6193447411060333E-10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3756.8</v>
      </c>
      <c r="H624" s="109">
        <f>H476</f>
        <v>3756.8000000000029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1112.42</v>
      </c>
      <c r="H626" s="109">
        <f>J476</f>
        <v>1112.42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4205137.8500000006</v>
      </c>
      <c r="H627" s="104">
        <f>SUM(F468)</f>
        <v>4205137.8499999996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111126.94999999998</v>
      </c>
      <c r="H628" s="104">
        <f>SUM(G468)</f>
        <v>111126.95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102318.23000000001</v>
      </c>
      <c r="H629" s="104">
        <f>SUM(H468)</f>
        <v>102318.23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32.93</v>
      </c>
      <c r="H631" s="104">
        <f>SUM(J468)</f>
        <v>32.93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4201221.8599999994</v>
      </c>
      <c r="H632" s="104">
        <f>SUM(F472)</f>
        <v>4201221.8600000003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102318.23</v>
      </c>
      <c r="H633" s="104">
        <f>SUM(H472)</f>
        <v>102318.23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40966.51</v>
      </c>
      <c r="H634" s="104">
        <f>I369</f>
        <v>40966.509999999995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111126.94999999998</v>
      </c>
      <c r="H635" s="104">
        <f>SUM(G472)</f>
        <v>111126.95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32.93</v>
      </c>
      <c r="H637" s="164">
        <f>SUM(J468)</f>
        <v>32.93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1112.42</v>
      </c>
      <c r="H639" s="104">
        <f>SUM(F461)</f>
        <v>1112.42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1112.42</v>
      </c>
      <c r="H642" s="104">
        <f>SUM(I461)</f>
        <v>1112.42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32.93</v>
      </c>
      <c r="H644" s="104">
        <f>H408</f>
        <v>32.93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32.93</v>
      </c>
      <c r="H646" s="104">
        <f>L408</f>
        <v>32.93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156217.15</v>
      </c>
      <c r="H647" s="104">
        <f>L208+L226+L244</f>
        <v>156217.15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66294.960000000006</v>
      </c>
      <c r="H648" s="104">
        <f>(J257+J338)-(J255+J336)</f>
        <v>66294.960000000006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156217.15</v>
      </c>
      <c r="H649" s="104">
        <f>H598</f>
        <v>156217.15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45667.519999999997</v>
      </c>
      <c r="H652" s="104">
        <f>K263+K345</f>
        <v>45667.519999999997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4019213.46</v>
      </c>
      <c r="G660" s="19">
        <f>(L229+L309+L359)</f>
        <v>0</v>
      </c>
      <c r="H660" s="19">
        <f>(L247+L328+L360)</f>
        <v>0</v>
      </c>
      <c r="I660" s="19">
        <f>SUM(F660:H660)</f>
        <v>4019213.46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19954.07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19954.07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156696.15</v>
      </c>
      <c r="G662" s="19">
        <f>(L226+L306)-(J226+J306)</f>
        <v>0</v>
      </c>
      <c r="H662" s="19">
        <f>(L244+L325)-(J244+J325)</f>
        <v>0</v>
      </c>
      <c r="I662" s="19">
        <f>SUM(F662:H662)</f>
        <v>156696.15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161964.76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161964.76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3680598.48</v>
      </c>
      <c r="G664" s="19">
        <f>G660-SUM(G661:G663)</f>
        <v>0</v>
      </c>
      <c r="H664" s="19">
        <f>H660-SUM(H661:H663)</f>
        <v>0</v>
      </c>
      <c r="I664" s="19">
        <f>I660-SUM(I661:I663)</f>
        <v>3680598.48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185.13</v>
      </c>
      <c r="G665" s="248"/>
      <c r="H665" s="248"/>
      <c r="I665" s="19">
        <f>SUM(F665:H665)</f>
        <v>185.13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19881.16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19881.16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19881.16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19881.16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THORNTON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1190630.3600000001</v>
      </c>
      <c r="C9" s="229">
        <f>'DOE25'!G197+'DOE25'!G215+'DOE25'!G233+'DOE25'!G276+'DOE25'!G295+'DOE25'!G314</f>
        <v>504092.69999999995</v>
      </c>
    </row>
    <row r="10" spans="1:3" x14ac:dyDescent="0.2">
      <c r="A10" t="s">
        <v>779</v>
      </c>
      <c r="B10" s="240">
        <v>1143830.3600000001</v>
      </c>
      <c r="C10" s="240">
        <v>498728.2</v>
      </c>
    </row>
    <row r="11" spans="1:3" x14ac:dyDescent="0.2">
      <c r="A11" t="s">
        <v>780</v>
      </c>
      <c r="B11" s="240"/>
      <c r="C11" s="240">
        <v>5364.5</v>
      </c>
    </row>
    <row r="12" spans="1:3" x14ac:dyDescent="0.2">
      <c r="A12" t="s">
        <v>781</v>
      </c>
      <c r="B12" s="240">
        <v>46800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1190630.3600000001</v>
      </c>
      <c r="C13" s="231">
        <f>SUM(C10:C12)</f>
        <v>504092.7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381476.84</v>
      </c>
      <c r="C18" s="229">
        <f>'DOE25'!G198+'DOE25'!G216+'DOE25'!G234+'DOE25'!G277+'DOE25'!G296+'DOE25'!G315</f>
        <v>153645.73000000001</v>
      </c>
    </row>
    <row r="19" spans="1:3" x14ac:dyDescent="0.2">
      <c r="A19" t="s">
        <v>779</v>
      </c>
      <c r="B19" s="240">
        <v>137782</v>
      </c>
      <c r="C19" s="240">
        <v>76108.5</v>
      </c>
    </row>
    <row r="20" spans="1:3" x14ac:dyDescent="0.2">
      <c r="A20" t="s">
        <v>780</v>
      </c>
      <c r="B20" s="240">
        <v>219409.24</v>
      </c>
      <c r="C20" s="240">
        <v>64551.42</v>
      </c>
    </row>
    <row r="21" spans="1:3" x14ac:dyDescent="0.2">
      <c r="A21" t="s">
        <v>781</v>
      </c>
      <c r="B21" s="240">
        <v>24285.599999999999</v>
      </c>
      <c r="C21" s="240">
        <v>12985.81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381476.83999999997</v>
      </c>
      <c r="C22" s="231">
        <f>SUM(C19:C21)</f>
        <v>153645.72999999998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35484.120000000003</v>
      </c>
      <c r="C36" s="235">
        <f>'DOE25'!G200+'DOE25'!G218+'DOE25'!G236+'DOE25'!G279+'DOE25'!G298+'DOE25'!G317</f>
        <v>7896.47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35484.120000000003</v>
      </c>
      <c r="C39" s="240">
        <v>7896.47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35484.120000000003</v>
      </c>
      <c r="C40" s="231">
        <f>SUM(C37:C39)</f>
        <v>7896.47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THORNTON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2508544.63</v>
      </c>
      <c r="D5" s="20">
        <f>SUM('DOE25'!L197:L200)+SUM('DOE25'!L215:L218)+SUM('DOE25'!L233:L236)-F5-G5</f>
        <v>2470373.4699999997</v>
      </c>
      <c r="E5" s="243"/>
      <c r="F5" s="255">
        <f>SUM('DOE25'!J197:J200)+SUM('DOE25'!J215:J218)+SUM('DOE25'!J233:J236)</f>
        <v>32012.52</v>
      </c>
      <c r="G5" s="53">
        <f>SUM('DOE25'!K197:K200)+SUM('DOE25'!K215:K218)+SUM('DOE25'!K233:K236)</f>
        <v>6158.64</v>
      </c>
      <c r="H5" s="259"/>
    </row>
    <row r="6" spans="1:9" x14ac:dyDescent="0.2">
      <c r="A6" s="32">
        <v>2100</v>
      </c>
      <c r="B6" t="s">
        <v>801</v>
      </c>
      <c r="C6" s="245">
        <f t="shared" si="0"/>
        <v>289470.01</v>
      </c>
      <c r="D6" s="20">
        <f>'DOE25'!L202+'DOE25'!L220+'DOE25'!L238-F6-G6</f>
        <v>288730.01</v>
      </c>
      <c r="E6" s="243"/>
      <c r="F6" s="255">
        <f>'DOE25'!J202+'DOE25'!J220+'DOE25'!J238</f>
        <v>740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83397.179999999993</v>
      </c>
      <c r="D7" s="20">
        <f>'DOE25'!L203+'DOE25'!L221+'DOE25'!L239-F7-G7</f>
        <v>83397.179999999993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95188.700000000041</v>
      </c>
      <c r="D8" s="243"/>
      <c r="E8" s="20">
        <f>'DOE25'!L204+'DOE25'!L222+'DOE25'!L240-F8-G8-D9-D11</f>
        <v>92448.620000000039</v>
      </c>
      <c r="F8" s="255">
        <f>'DOE25'!J204+'DOE25'!J222+'DOE25'!J240</f>
        <v>0</v>
      </c>
      <c r="G8" s="53">
        <f>'DOE25'!K204+'DOE25'!K222+'DOE25'!K240</f>
        <v>2740.08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18015.169999999998</v>
      </c>
      <c r="D9" s="244">
        <v>18015.169999999998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64981.3</v>
      </c>
      <c r="D11" s="244">
        <v>64981.3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268552.21000000002</v>
      </c>
      <c r="D12" s="20">
        <f>'DOE25'!L205+'DOE25'!L223+'DOE25'!L241-F12-G12</f>
        <v>261398.87000000002</v>
      </c>
      <c r="E12" s="243"/>
      <c r="F12" s="255">
        <f>'DOE25'!J205+'DOE25'!J223+'DOE25'!J241</f>
        <v>1087.94</v>
      </c>
      <c r="G12" s="53">
        <f>'DOE25'!K205+'DOE25'!K223+'DOE25'!K241</f>
        <v>6065.4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407.74</v>
      </c>
      <c r="D13" s="243"/>
      <c r="E13" s="20">
        <f>'DOE25'!L206+'DOE25'!L224+'DOE25'!L242-F13-G13</f>
        <v>407.74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320994.19</v>
      </c>
      <c r="D14" s="20">
        <f>'DOE25'!L207+'DOE25'!L225+'DOE25'!L243-F14-G14</f>
        <v>303553.46000000002</v>
      </c>
      <c r="E14" s="243"/>
      <c r="F14" s="255">
        <f>'DOE25'!J207+'DOE25'!J225+'DOE25'!J243</f>
        <v>17440.73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156217.15</v>
      </c>
      <c r="D15" s="20">
        <f>'DOE25'!L208+'DOE25'!L226+'DOE25'!L244-F15-G15</f>
        <v>156217.15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69094.25</v>
      </c>
      <c r="D22" s="243"/>
      <c r="E22" s="243"/>
      <c r="F22" s="255">
        <f>'DOE25'!L255+'DOE25'!L336</f>
        <v>69094.25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280691.81</v>
      </c>
      <c r="D25" s="243"/>
      <c r="E25" s="243"/>
      <c r="F25" s="258"/>
      <c r="G25" s="256"/>
      <c r="H25" s="257">
        <f>'DOE25'!L260+'DOE25'!L261+'DOE25'!L341+'DOE25'!L342</f>
        <v>280691.81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70759.569999999978</v>
      </c>
      <c r="D29" s="20">
        <f>'DOE25'!L358+'DOE25'!L359+'DOE25'!L360-'DOE25'!I367-F29-G29</f>
        <v>70149.569999999978</v>
      </c>
      <c r="E29" s="243"/>
      <c r="F29" s="255">
        <f>'DOE25'!J358+'DOE25'!J359+'DOE25'!J360</f>
        <v>0</v>
      </c>
      <c r="G29" s="53">
        <f>'DOE25'!K358+'DOE25'!K359+'DOE25'!K360</f>
        <v>610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102318.23</v>
      </c>
      <c r="D31" s="20">
        <f>'DOE25'!L290+'DOE25'!L309+'DOE25'!L328+'DOE25'!L333+'DOE25'!L334+'DOE25'!L335-F31-G31</f>
        <v>85883.939999999988</v>
      </c>
      <c r="E31" s="243"/>
      <c r="F31" s="255">
        <f>'DOE25'!J290+'DOE25'!J309+'DOE25'!J328+'DOE25'!J333+'DOE25'!J334+'DOE25'!J335</f>
        <v>15013.77</v>
      </c>
      <c r="G31" s="53">
        <f>'DOE25'!K290+'DOE25'!K309+'DOE25'!K328+'DOE25'!K333+'DOE25'!K334+'DOE25'!K335</f>
        <v>1420.52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3802700.1199999992</v>
      </c>
      <c r="E33" s="246">
        <f>SUM(E5:E31)</f>
        <v>96856.360000000044</v>
      </c>
      <c r="F33" s="246">
        <f>SUM(F5:F31)</f>
        <v>135389.21</v>
      </c>
      <c r="G33" s="246">
        <f>SUM(G5:G31)</f>
        <v>16994.64</v>
      </c>
      <c r="H33" s="246">
        <f>SUM(H5:H31)</f>
        <v>280691.81</v>
      </c>
    </row>
    <row r="35" spans="2:8" ht="12" thickBot="1" x14ac:dyDescent="0.25">
      <c r="B35" s="253" t="s">
        <v>847</v>
      </c>
      <c r="D35" s="254">
        <f>E33</f>
        <v>96856.360000000044</v>
      </c>
      <c r="E35" s="249"/>
    </row>
    <row r="36" spans="2:8" ht="12" thickTop="1" x14ac:dyDescent="0.2">
      <c r="B36" t="s">
        <v>815</v>
      </c>
      <c r="D36" s="20">
        <f>D33</f>
        <v>3802700.1199999992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THORNTON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201228.36</v>
      </c>
      <c r="D8" s="95">
        <f>'DOE25'!G9</f>
        <v>-7018.59</v>
      </c>
      <c r="E8" s="95">
        <f>'DOE25'!H9</f>
        <v>-9220.01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1112.42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1500</v>
      </c>
      <c r="D12" s="95">
        <f>'DOE25'!G13</f>
        <v>8154.98</v>
      </c>
      <c r="E12" s="95">
        <f>'DOE25'!H13</f>
        <v>13702.37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2283.2800000000002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205011.63999999998</v>
      </c>
      <c r="D18" s="41">
        <f>SUM(D8:D17)</f>
        <v>1136.3899999999994</v>
      </c>
      <c r="E18" s="41">
        <f>SUM(E8:E17)</f>
        <v>4482.3600000000006</v>
      </c>
      <c r="F18" s="41">
        <f>SUM(F8:F17)</f>
        <v>0</v>
      </c>
      <c r="G18" s="41">
        <f>SUM(G8:G17)</f>
        <v>1112.42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8065.92</v>
      </c>
      <c r="D23" s="95">
        <f>'DOE25'!G24</f>
        <v>0</v>
      </c>
      <c r="E23" s="95">
        <f>'DOE25'!H24</f>
        <v>725.56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47.37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1089.02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8065.92</v>
      </c>
      <c r="D31" s="41">
        <f>SUM(D21:D30)</f>
        <v>1136.3899999999999</v>
      </c>
      <c r="E31" s="41">
        <f>SUM(E21:E30)</f>
        <v>725.56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3756.8</v>
      </c>
      <c r="F47" s="95">
        <f>'DOE25'!I48</f>
        <v>0</v>
      </c>
      <c r="G47" s="95">
        <f>'DOE25'!J48</f>
        <v>1112.42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93910.42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103035.3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196945.72</v>
      </c>
      <c r="D50" s="41">
        <f>SUM(D34:D49)</f>
        <v>0</v>
      </c>
      <c r="E50" s="41">
        <f>SUM(E34:E49)</f>
        <v>3756.8</v>
      </c>
      <c r="F50" s="41">
        <f>SUM(F34:F49)</f>
        <v>0</v>
      </c>
      <c r="G50" s="41">
        <f>SUM(G34:G49)</f>
        <v>1112.42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205011.64</v>
      </c>
      <c r="D51" s="41">
        <f>D50+D31</f>
        <v>1136.3899999999999</v>
      </c>
      <c r="E51" s="41">
        <f>E50+E31</f>
        <v>4482.3600000000006</v>
      </c>
      <c r="F51" s="41">
        <f>F50+F31</f>
        <v>0</v>
      </c>
      <c r="G51" s="41">
        <f>G50+G31</f>
        <v>1112.42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2960847.53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51.96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32.93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19954.07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27278.14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27330.1</v>
      </c>
      <c r="D62" s="130">
        <f>SUM(D57:D61)</f>
        <v>19954.07</v>
      </c>
      <c r="E62" s="130">
        <f>SUM(E57:E61)</f>
        <v>0</v>
      </c>
      <c r="F62" s="130">
        <f>SUM(F57:F61)</f>
        <v>0</v>
      </c>
      <c r="G62" s="130">
        <f>SUM(G57:G61)</f>
        <v>32.93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2988177.63</v>
      </c>
      <c r="D63" s="22">
        <f>D56+D62</f>
        <v>19954.07</v>
      </c>
      <c r="E63" s="22">
        <f>E56+E62</f>
        <v>0</v>
      </c>
      <c r="F63" s="22">
        <f>F56+F62</f>
        <v>0</v>
      </c>
      <c r="G63" s="22">
        <f>G56+G62</f>
        <v>32.93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399540.47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644614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1044154.47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100909.1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861.02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100909.1</v>
      </c>
      <c r="D78" s="130">
        <f>SUM(D72:D77)</f>
        <v>861.02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1145063.57</v>
      </c>
      <c r="D81" s="130">
        <f>SUM(D79:D80)+D78+D70</f>
        <v>861.02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63547.08</v>
      </c>
      <c r="D88" s="95">
        <f>SUM('DOE25'!G153:G161)</f>
        <v>44644.34</v>
      </c>
      <c r="E88" s="95">
        <f>SUM('DOE25'!H153:H161)</f>
        <v>102318.23000000001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8349.57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71896.649999999994</v>
      </c>
      <c r="D91" s="131">
        <f>SUM(D85:D90)</f>
        <v>44644.34</v>
      </c>
      <c r="E91" s="131">
        <f>SUM(E85:E90)</f>
        <v>102318.23000000001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45667.519999999997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45667.519999999997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4205137.8500000006</v>
      </c>
      <c r="D104" s="86">
        <f>D63+D81+D91+D103</f>
        <v>111126.94999999998</v>
      </c>
      <c r="E104" s="86">
        <f>E63+E81+E91+E103</f>
        <v>102318.23000000001</v>
      </c>
      <c r="F104" s="86">
        <f>F63+F81+F91+F103</f>
        <v>0</v>
      </c>
      <c r="G104" s="86">
        <f>G63+G81+G103</f>
        <v>32.93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1728806.1900000002</v>
      </c>
      <c r="D109" s="24" t="s">
        <v>289</v>
      </c>
      <c r="E109" s="95">
        <f>('DOE25'!L276)+('DOE25'!L295)+('DOE25'!L314)</f>
        <v>85930.61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721042.10000000009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58696.340000000004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2508544.63</v>
      </c>
      <c r="D115" s="86">
        <f>SUM(D109:D114)</f>
        <v>0</v>
      </c>
      <c r="E115" s="86">
        <f>SUM(E109:E114)</f>
        <v>85930.61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289470.01</v>
      </c>
      <c r="D118" s="24" t="s">
        <v>289</v>
      </c>
      <c r="E118" s="95">
        <f>+('DOE25'!L281)+('DOE25'!L300)+('DOE25'!L319)</f>
        <v>557.99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83397.179999999993</v>
      </c>
      <c r="D119" s="24" t="s">
        <v>289</v>
      </c>
      <c r="E119" s="95">
        <f>+('DOE25'!L282)+('DOE25'!L301)+('DOE25'!L320)</f>
        <v>10000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178185.17</v>
      </c>
      <c r="D120" s="24" t="s">
        <v>289</v>
      </c>
      <c r="E120" s="95">
        <f>+('DOE25'!L283)+('DOE25'!L302)+('DOE25'!L321)</f>
        <v>3609.09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268552.21000000002</v>
      </c>
      <c r="D121" s="24" t="s">
        <v>289</v>
      </c>
      <c r="E121" s="95">
        <f>+('DOE25'!L284)+('DOE25'!L303)+('DOE25'!L322)</f>
        <v>474.98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407.74</v>
      </c>
      <c r="D122" s="24" t="s">
        <v>289</v>
      </c>
      <c r="E122" s="95">
        <f>+('DOE25'!L285)+('DOE25'!L304)+('DOE25'!L323)</f>
        <v>1266.56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320994.19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156217.15</v>
      </c>
      <c r="D124" s="24" t="s">
        <v>289</v>
      </c>
      <c r="E124" s="95">
        <f>+('DOE25'!L287)+('DOE25'!L306)+('DOE25'!L325)</f>
        <v>479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111126.94999999998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1297223.6499999999</v>
      </c>
      <c r="D128" s="86">
        <f>SUM(D118:D127)</f>
        <v>111126.94999999998</v>
      </c>
      <c r="E128" s="86">
        <f>SUM(E118:E127)</f>
        <v>16387.62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69094.25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277400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3291.81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45667.519999999997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32.93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-32.93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395453.58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4201221.8599999994</v>
      </c>
      <c r="D145" s="86">
        <f>(D115+D128+D144)</f>
        <v>111126.94999999998</v>
      </c>
      <c r="E145" s="86">
        <f>(E115+E128+E144)</f>
        <v>102318.23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1387000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277400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277400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277400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277400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THORNTON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19881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19881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1814737</v>
      </c>
      <c r="D10" s="182">
        <f>ROUND((C10/$C$28)*100,1)</f>
        <v>45.3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721042</v>
      </c>
      <c r="D11" s="182">
        <f>ROUND((C11/$C$28)*100,1)</f>
        <v>18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58696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290028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93397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181794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269027</v>
      </c>
      <c r="D18" s="182">
        <f t="shared" si="0"/>
        <v>6.7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1674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320994</v>
      </c>
      <c r="D20" s="182">
        <f t="shared" si="0"/>
        <v>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156696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3292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91172.93</v>
      </c>
      <c r="D27" s="182">
        <f t="shared" si="0"/>
        <v>2.2999999999999998</v>
      </c>
    </row>
    <row r="28" spans="1:4" x14ac:dyDescent="0.2">
      <c r="B28" s="187" t="s">
        <v>723</v>
      </c>
      <c r="C28" s="180">
        <f>SUM(C10:C27)</f>
        <v>4002549.93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69094</v>
      </c>
    </row>
    <row r="30" spans="1:4" x14ac:dyDescent="0.2">
      <c r="B30" s="187" t="s">
        <v>729</v>
      </c>
      <c r="C30" s="180">
        <f>SUM(C28:C29)</f>
        <v>4071643.93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277400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2960848</v>
      </c>
      <c r="D35" s="182">
        <f t="shared" ref="D35:D40" si="1">ROUND((C35/$C$41)*100,1)</f>
        <v>68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27362.560000000056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1044154</v>
      </c>
      <c r="D37" s="182">
        <f t="shared" si="1"/>
        <v>24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101770</v>
      </c>
      <c r="D38" s="182">
        <f t="shared" si="1"/>
        <v>2.2999999999999998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218859</v>
      </c>
      <c r="D39" s="182">
        <f t="shared" si="1"/>
        <v>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4352993.5600000005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THORNTON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2016-08-22T12:02:42Z</cp:lastPrinted>
  <dcterms:created xsi:type="dcterms:W3CDTF">1997-12-04T19:04:30Z</dcterms:created>
  <dcterms:modified xsi:type="dcterms:W3CDTF">2016-08-22T12:02:46Z</dcterms:modified>
</cp:coreProperties>
</file>