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19200" windowHeight="107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B39" i="12" l="1"/>
  <c r="J220" i="1" l="1"/>
  <c r="K241" i="1"/>
  <c r="D9" i="13" l="1"/>
  <c r="B21" i="12"/>
  <c r="B20" i="12"/>
  <c r="B19" i="12"/>
  <c r="B10" i="12"/>
  <c r="J335" i="1" l="1"/>
  <c r="J468" i="1"/>
  <c r="K264" i="1"/>
  <c r="K263" i="1"/>
  <c r="H472" i="1" l="1"/>
  <c r="H468" i="1"/>
  <c r="H569" i="1"/>
  <c r="I568" i="1"/>
  <c r="G441" i="1" l="1"/>
  <c r="J426" i="1"/>
  <c r="H426" i="1"/>
  <c r="H255" i="1"/>
  <c r="H110" i="1" l="1"/>
  <c r="F57" i="1"/>
  <c r="H30" i="1" l="1"/>
  <c r="H22" i="1"/>
  <c r="F29" i="1"/>
  <c r="H9" i="1"/>
  <c r="G9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G650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E125" i="2" s="1"/>
  <c r="L333" i="1"/>
  <c r="L334" i="1"/>
  <c r="L335" i="1"/>
  <c r="L260" i="1"/>
  <c r="C131" i="2" s="1"/>
  <c r="L261" i="1"/>
  <c r="C132" i="2" s="1"/>
  <c r="L341" i="1"/>
  <c r="E131" i="2" s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B27" i="12"/>
  <c r="C27" i="12"/>
  <c r="B31" i="12"/>
  <c r="C31" i="12"/>
  <c r="B9" i="12"/>
  <c r="B13" i="12"/>
  <c r="C9" i="12"/>
  <c r="B18" i="12"/>
  <c r="B22" i="12"/>
  <c r="C18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E56" i="2" s="1"/>
  <c r="I60" i="1"/>
  <c r="F79" i="1"/>
  <c r="C57" i="2" s="1"/>
  <c r="F94" i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F169" i="1" s="1"/>
  <c r="G147" i="1"/>
  <c r="G162" i="1"/>
  <c r="H147" i="1"/>
  <c r="H162" i="1"/>
  <c r="H169" i="1" s="1"/>
  <c r="I147" i="1"/>
  <c r="I162" i="1"/>
  <c r="L250" i="1"/>
  <c r="C113" i="2" s="1"/>
  <c r="L332" i="1"/>
  <c r="L254" i="1"/>
  <c r="L268" i="1"/>
  <c r="C142" i="2" s="1"/>
  <c r="L269" i="1"/>
  <c r="C143" i="2" s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F56" i="2"/>
  <c r="E57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3" i="2"/>
  <c r="C114" i="2"/>
  <c r="D115" i="2"/>
  <c r="F115" i="2"/>
  <c r="G115" i="2"/>
  <c r="E118" i="2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G408" i="1" s="1"/>
  <c r="H645" i="1" s="1"/>
  <c r="H393" i="1"/>
  <c r="H408" i="1" s="1"/>
  <c r="H644" i="1" s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H460" i="1"/>
  <c r="H461" i="1" s="1"/>
  <c r="H641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G644" i="1"/>
  <c r="G652" i="1"/>
  <c r="H652" i="1"/>
  <c r="G653" i="1"/>
  <c r="H653" i="1"/>
  <c r="G654" i="1"/>
  <c r="H654" i="1"/>
  <c r="H655" i="1"/>
  <c r="E78" i="2"/>
  <c r="K571" i="1"/>
  <c r="I169" i="1"/>
  <c r="J140" i="1"/>
  <c r="C29" i="10"/>
  <c r="G36" i="2"/>
  <c r="L560" i="1" l="1"/>
  <c r="F461" i="1"/>
  <c r="H639" i="1" s="1"/>
  <c r="J641" i="1"/>
  <c r="G192" i="1"/>
  <c r="I545" i="1"/>
  <c r="I476" i="1"/>
  <c r="H625" i="1" s="1"/>
  <c r="F408" i="1"/>
  <c r="H643" i="1" s="1"/>
  <c r="J643" i="1" s="1"/>
  <c r="F192" i="1"/>
  <c r="G157" i="2"/>
  <c r="E62" i="2"/>
  <c r="C123" i="2"/>
  <c r="C18" i="10"/>
  <c r="C120" i="2"/>
  <c r="D17" i="13"/>
  <c r="C17" i="13" s="1"/>
  <c r="C110" i="2"/>
  <c r="C11" i="10"/>
  <c r="C112" i="2"/>
  <c r="C21" i="12"/>
  <c r="C20" i="12"/>
  <c r="C19" i="12"/>
  <c r="C11" i="12"/>
  <c r="C10" i="12"/>
  <c r="C12" i="12"/>
  <c r="C39" i="12"/>
  <c r="C38" i="12"/>
  <c r="C37" i="12"/>
  <c r="C13" i="10"/>
  <c r="E110" i="2"/>
  <c r="K598" i="1"/>
  <c r="G647" i="1" s="1"/>
  <c r="J649" i="1"/>
  <c r="I552" i="1"/>
  <c r="H552" i="1"/>
  <c r="G545" i="1"/>
  <c r="H476" i="1"/>
  <c r="H624" i="1" s="1"/>
  <c r="L427" i="1"/>
  <c r="K545" i="1"/>
  <c r="L433" i="1"/>
  <c r="D31" i="2"/>
  <c r="J552" i="1"/>
  <c r="K549" i="1"/>
  <c r="K551" i="1"/>
  <c r="F552" i="1"/>
  <c r="F130" i="2"/>
  <c r="F144" i="2" s="1"/>
  <c r="F145" i="2" s="1"/>
  <c r="L393" i="1"/>
  <c r="C138" i="2" s="1"/>
  <c r="D127" i="2"/>
  <c r="D128" i="2" s="1"/>
  <c r="D145" i="2" s="1"/>
  <c r="D15" i="13"/>
  <c r="C15" i="13" s="1"/>
  <c r="G625" i="1"/>
  <c r="J625" i="1" s="1"/>
  <c r="K605" i="1"/>
  <c r="G648" i="1" s="1"/>
  <c r="H571" i="1"/>
  <c r="L570" i="1"/>
  <c r="L571" i="1" s="1"/>
  <c r="I571" i="1"/>
  <c r="L565" i="1"/>
  <c r="J571" i="1"/>
  <c r="F571" i="1"/>
  <c r="L544" i="1"/>
  <c r="J476" i="1"/>
  <c r="H626" i="1" s="1"/>
  <c r="F476" i="1"/>
  <c r="H622" i="1" s="1"/>
  <c r="G476" i="1"/>
  <c r="H623" i="1" s="1"/>
  <c r="J623" i="1" s="1"/>
  <c r="G461" i="1"/>
  <c r="H640" i="1" s="1"/>
  <c r="J640" i="1" s="1"/>
  <c r="C91" i="2"/>
  <c r="L270" i="1"/>
  <c r="F662" i="1"/>
  <c r="H140" i="1"/>
  <c r="G62" i="2"/>
  <c r="E114" i="2"/>
  <c r="D19" i="13"/>
  <c r="C19" i="13" s="1"/>
  <c r="H545" i="1"/>
  <c r="J545" i="1"/>
  <c r="L419" i="1"/>
  <c r="F22" i="13"/>
  <c r="C22" i="13" s="1"/>
  <c r="G624" i="1"/>
  <c r="L534" i="1"/>
  <c r="I446" i="1"/>
  <c r="G642" i="1" s="1"/>
  <c r="C32" i="10"/>
  <c r="G161" i="2"/>
  <c r="E103" i="2"/>
  <c r="F78" i="2"/>
  <c r="F81" i="2" s="1"/>
  <c r="D50" i="2"/>
  <c r="D51" i="2" s="1"/>
  <c r="E31" i="2"/>
  <c r="F18" i="2"/>
  <c r="L401" i="1"/>
  <c r="C139" i="2" s="1"/>
  <c r="D18" i="13"/>
  <c r="C18" i="13" s="1"/>
  <c r="G164" i="2"/>
  <c r="G156" i="2"/>
  <c r="D62" i="2"/>
  <c r="D63" i="2" s="1"/>
  <c r="H661" i="1"/>
  <c r="J634" i="1"/>
  <c r="E122" i="2"/>
  <c r="E121" i="2"/>
  <c r="E112" i="2"/>
  <c r="L328" i="1"/>
  <c r="E124" i="2"/>
  <c r="E120" i="2"/>
  <c r="F338" i="1"/>
  <c r="F352" i="1" s="1"/>
  <c r="E123" i="2"/>
  <c r="E119" i="2"/>
  <c r="H338" i="1"/>
  <c r="H352" i="1" s="1"/>
  <c r="G338" i="1"/>
  <c r="G352" i="1" s="1"/>
  <c r="J338" i="1"/>
  <c r="J352" i="1" s="1"/>
  <c r="L309" i="1"/>
  <c r="E109" i="2"/>
  <c r="C20" i="10"/>
  <c r="J655" i="1"/>
  <c r="C25" i="10"/>
  <c r="L256" i="1"/>
  <c r="K257" i="1"/>
  <c r="K271" i="1" s="1"/>
  <c r="L247" i="1"/>
  <c r="H660" i="1" s="1"/>
  <c r="D14" i="13"/>
  <c r="C14" i="13" s="1"/>
  <c r="H257" i="1"/>
  <c r="H271" i="1" s="1"/>
  <c r="D5" i="13"/>
  <c r="C5" i="13" s="1"/>
  <c r="I257" i="1"/>
  <c r="I271" i="1" s="1"/>
  <c r="C124" i="2"/>
  <c r="C118" i="2"/>
  <c r="C122" i="2"/>
  <c r="G662" i="1"/>
  <c r="C111" i="2"/>
  <c r="G257" i="1"/>
  <c r="G271" i="1" s="1"/>
  <c r="L229" i="1"/>
  <c r="C10" i="10"/>
  <c r="D6" i="13"/>
  <c r="C6" i="13" s="1"/>
  <c r="C21" i="10"/>
  <c r="D12" i="13"/>
  <c r="C12" i="13" s="1"/>
  <c r="D7" i="13"/>
  <c r="C7" i="13" s="1"/>
  <c r="C15" i="10"/>
  <c r="E16" i="13"/>
  <c r="C16" i="13" s="1"/>
  <c r="C19" i="10"/>
  <c r="C17" i="10"/>
  <c r="A31" i="12"/>
  <c r="C12" i="10"/>
  <c r="J257" i="1"/>
  <c r="J271" i="1" s="1"/>
  <c r="F257" i="1"/>
  <c r="F271" i="1" s="1"/>
  <c r="H192" i="1"/>
  <c r="G645" i="1"/>
  <c r="J645" i="1" s="1"/>
  <c r="J644" i="1"/>
  <c r="D81" i="2"/>
  <c r="C78" i="2"/>
  <c r="C70" i="2"/>
  <c r="C81" i="2" s="1"/>
  <c r="C35" i="10"/>
  <c r="F112" i="1"/>
  <c r="J622" i="1"/>
  <c r="J617" i="1"/>
  <c r="J639" i="1"/>
  <c r="D18" i="2"/>
  <c r="C18" i="2"/>
  <c r="K550" i="1"/>
  <c r="G552" i="1"/>
  <c r="H112" i="1"/>
  <c r="G651" i="1"/>
  <c r="J651" i="1" s="1"/>
  <c r="K500" i="1"/>
  <c r="I460" i="1"/>
  <c r="I452" i="1"/>
  <c r="C125" i="2"/>
  <c r="C121" i="2"/>
  <c r="C119" i="2"/>
  <c r="E132" i="2"/>
  <c r="H662" i="1"/>
  <c r="G661" i="1"/>
  <c r="L211" i="1"/>
  <c r="C16" i="10"/>
  <c r="L362" i="1"/>
  <c r="G635" i="1" s="1"/>
  <c r="J635" i="1" s="1"/>
  <c r="D29" i="13"/>
  <c r="C29" i="13" s="1"/>
  <c r="E13" i="13"/>
  <c r="C13" i="13" s="1"/>
  <c r="E8" i="13"/>
  <c r="C8" i="13" s="1"/>
  <c r="L290" i="1"/>
  <c r="C26" i="10"/>
  <c r="L539" i="1"/>
  <c r="K503" i="1"/>
  <c r="L382" i="1"/>
  <c r="G636" i="1" s="1"/>
  <c r="J636" i="1" s="1"/>
  <c r="K338" i="1"/>
  <c r="K352" i="1" s="1"/>
  <c r="E111" i="2"/>
  <c r="G81" i="2"/>
  <c r="C62" i="2"/>
  <c r="C63" i="2" s="1"/>
  <c r="F661" i="1"/>
  <c r="I661" i="1" s="1"/>
  <c r="G112" i="1"/>
  <c r="H25" i="13"/>
  <c r="E81" i="2"/>
  <c r="E63" i="2"/>
  <c r="L351" i="1"/>
  <c r="H647" i="1"/>
  <c r="J647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C39" i="10" s="1"/>
  <c r="G140" i="1"/>
  <c r="F140" i="1"/>
  <c r="G63" i="2"/>
  <c r="G104" i="2" s="1"/>
  <c r="J618" i="1"/>
  <c r="G42" i="2"/>
  <c r="G50" i="2" s="1"/>
  <c r="J51" i="1"/>
  <c r="G16" i="2"/>
  <c r="G18" i="2" s="1"/>
  <c r="J19" i="1"/>
  <c r="G621" i="1" s="1"/>
  <c r="F545" i="1"/>
  <c r="H434" i="1"/>
  <c r="J620" i="1"/>
  <c r="J619" i="1"/>
  <c r="D103" i="2"/>
  <c r="I140" i="1"/>
  <c r="I193" i="1" s="1"/>
  <c r="G630" i="1" s="1"/>
  <c r="J630" i="1" s="1"/>
  <c r="J652" i="1"/>
  <c r="G571" i="1"/>
  <c r="I434" i="1"/>
  <c r="G434" i="1"/>
  <c r="I663" i="1"/>
  <c r="C27" i="10"/>
  <c r="E51" i="2" l="1"/>
  <c r="C115" i="2"/>
  <c r="C22" i="12"/>
  <c r="A22" i="12" s="1"/>
  <c r="C40" i="12"/>
  <c r="A40" i="12" s="1"/>
  <c r="C13" i="12"/>
  <c r="A13" i="12" s="1"/>
  <c r="J624" i="1"/>
  <c r="L545" i="1"/>
  <c r="K552" i="1"/>
  <c r="L434" i="1"/>
  <c r="G638" i="1" s="1"/>
  <c r="J638" i="1" s="1"/>
  <c r="L408" i="1"/>
  <c r="G637" i="1" s="1"/>
  <c r="J637" i="1" s="1"/>
  <c r="C141" i="2"/>
  <c r="C144" i="2" s="1"/>
  <c r="I662" i="1"/>
  <c r="F104" i="2"/>
  <c r="F33" i="13"/>
  <c r="G51" i="2"/>
  <c r="E128" i="2"/>
  <c r="E115" i="2"/>
  <c r="G660" i="1"/>
  <c r="G664" i="1" s="1"/>
  <c r="G672" i="1" s="1"/>
  <c r="C5" i="10" s="1"/>
  <c r="L257" i="1"/>
  <c r="L271" i="1" s="1"/>
  <c r="G632" i="1" s="1"/>
  <c r="J632" i="1" s="1"/>
  <c r="H664" i="1"/>
  <c r="H667" i="1" s="1"/>
  <c r="H648" i="1"/>
  <c r="J648" i="1" s="1"/>
  <c r="C128" i="2"/>
  <c r="H193" i="1"/>
  <c r="G629" i="1" s="1"/>
  <c r="J629" i="1" s="1"/>
  <c r="E104" i="2"/>
  <c r="D104" i="2"/>
  <c r="F193" i="1"/>
  <c r="G627" i="1" s="1"/>
  <c r="J627" i="1" s="1"/>
  <c r="C104" i="2"/>
  <c r="I461" i="1"/>
  <c r="H642" i="1" s="1"/>
  <c r="J642" i="1" s="1"/>
  <c r="C28" i="10"/>
  <c r="D24" i="10" s="1"/>
  <c r="D31" i="13"/>
  <c r="C31" i="13" s="1"/>
  <c r="F660" i="1"/>
  <c r="C36" i="10"/>
  <c r="L338" i="1"/>
  <c r="L352" i="1" s="1"/>
  <c r="G633" i="1" s="1"/>
  <c r="J633" i="1" s="1"/>
  <c r="C25" i="13"/>
  <c r="H33" i="13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C145" i="2"/>
  <c r="H646" i="1"/>
  <c r="J646" i="1" s="1"/>
  <c r="E145" i="2"/>
  <c r="D33" i="13"/>
  <c r="D36" i="13" s="1"/>
  <c r="G667" i="1"/>
  <c r="D19" i="10"/>
  <c r="D25" i="10"/>
  <c r="D20" i="10"/>
  <c r="D15" i="10"/>
  <c r="D11" i="10"/>
  <c r="D22" i="10"/>
  <c r="D18" i="10"/>
  <c r="D10" i="10"/>
  <c r="D26" i="10"/>
  <c r="C30" i="10"/>
  <c r="D16" i="10"/>
  <c r="D23" i="10"/>
  <c r="D13" i="10"/>
  <c r="D21" i="10"/>
  <c r="D27" i="10"/>
  <c r="D17" i="10"/>
  <c r="D12" i="10"/>
  <c r="F664" i="1"/>
  <c r="I660" i="1"/>
  <c r="I664" i="1" s="1"/>
  <c r="I672" i="1" s="1"/>
  <c r="C7" i="10" s="1"/>
  <c r="C41" i="10"/>
  <c r="D38" i="10" s="1"/>
  <c r="H656" i="1" l="1"/>
  <c r="D28" i="10"/>
  <c r="I667" i="1"/>
  <c r="F672" i="1"/>
  <c r="C4" i="10" s="1"/>
  <c r="F667" i="1"/>
  <c r="D37" i="10"/>
  <c r="D36" i="10"/>
  <c r="D35" i="10"/>
  <c r="D40" i="10"/>
  <c r="D39" i="10"/>
  <c r="D41" i="10" l="1"/>
  <c r="I393" i="1" l="1"/>
  <c r="I408" i="1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<sst xmlns="http://schemas.openxmlformats.org/spreadsheetml/2006/main" count="3958" uniqueCount="916">
  <si>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</si>
  <si>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</si>
  <si>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</si>
  <si>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</si>
  <si>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</si>
  <si>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</si>
  <si>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</si>
  <si>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</si>
  <si>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</si>
  <si>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</si>
  <si>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</si>
  <si>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</si>
  <si>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</si>
  <si>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</si>
  <si>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</si>
  <si>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</si>
  <si>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</si>
  <si>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</si>
  <si>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</si>
  <si>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</si>
  <si>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</si>
  <si>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</si>
  <si>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</si>
  <si>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</si>
  <si>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</si>
  <si>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</si>
  <si>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</si>
  <si>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</si>
  <si>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</si>
  <si>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</si>
  <si>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</si>
  <si>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</si>
  <si>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</si>
  <si>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</si>
  <si>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</si>
  <si>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</si>
  <si>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</si>
  <si>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</si>
  <si>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</si>
  <si>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</si>
  <si>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</si>
  <si>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</si>
  <si>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</si>
  <si>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</si>
  <si>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</si>
  <si>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</si>
  <si>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</si>
  <si>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</si>
  <si>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</si>
  <si>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</si>
  <si>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</si>
  <si>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</si>
  <si>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</si>
  <si>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</si>
  <si>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</si>
  <si>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</si>
  <si>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</si>
  <si>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</si>
  <si>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</si>
  <si>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</si>
  <si>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</si>
  <si>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</si>
  <si>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</si>
  <si>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</si>
  <si>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</si>
  <si>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</si>
  <si>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</si>
  <si>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</si>
  <si>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</si>
  <si>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</si>
  <si>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</si>
  <si>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</si>
  <si>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</si>
  <si>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</si>
  <si>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</si>
  <si>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</si>
  <si>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</si>
  <si>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</si>
  <si>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</si>
  <si>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</si>
  <si>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</si>
  <si>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</si>
  <si>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</si>
  <si>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</si>
  <si>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</si>
  <si>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</si>
  <si>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</si>
  <si>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</si>
  <si>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</si>
  <si>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</si>
  <si>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</si>
  <si>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</si>
  <si>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</si>
  <si>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</si>
  <si>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</si>
  <si>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</si>
  <si>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</si>
  <si>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</si>
  <si>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</si>
  <si>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</si>
  <si>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</si>
  <si>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</si>
  <si>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</si>
  <si>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</si>
  <si>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</si>
  <si>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</si>
  <si>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</si>
  <si>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</si>
  <si>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</si>
  <si>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</si>
  <si>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</si>
  <si>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</si>
  <si>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</si>
  <si>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</si>
  <si>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</si>
  <si>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</si>
  <si>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</si>
  <si>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</si>
  <si>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</si>
  <si>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</si>
  <si>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</si>
  <si>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</si>
  <si>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</si>
  <si>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</si>
  <si>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</si>
  <si>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</si>
  <si>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</si>
  <si>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</si>
  <si>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</si>
  <si>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</si>
  <si>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</si>
  <si>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</si>
  <si>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</si>
  <si>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</si>
  <si>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</si>
  <si>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</si>
  <si>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</si>
  <si>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</si>
  <si>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</si>
  <si>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</si>
  <si>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</si>
  <si>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</si>
  <si>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</si>
  <si>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</si>
  <si>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</si>
  <si>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</si>
  <si>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</si>
  <si>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</si>
  <si>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</si>
  <si>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</si>
  <si>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</si>
  <si>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</si>
  <si>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</si>
  <si>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</si>
  <si>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</si>
  <si>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</si>
  <si>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</si>
  <si>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</si>
  <si>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</si>
  <si>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</si>
  <si>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</si>
  <si>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</si>
  <si>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</si>
  <si>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</si>
  <si>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</si>
  <si>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</si>
  <si>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</si>
  <si>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</si>
  <si>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</si>
  <si>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</si>
  <si>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</si>
  <si>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</si>
  <si>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</si>
  <si>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</si>
  <si>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</si>
  <si>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</si>
  <si>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</si>
  <si>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</si>
  <si>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</si>
  <si>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</si>
  <si>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</si>
  <si>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</si>
  <si>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</si>
  <si>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</si>
  <si>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</si>
  <si>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</si>
  <si>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</si>
  <si>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</si>
  <si>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</si>
  <si>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</si>
  <si>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</si>
  <si>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</si>
  <si>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</si>
  <si>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</si>
  <si>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</si>
  <si>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</si>
  <si>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</si>
  <si>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</si>
  <si>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</si>
  <si>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</si>
  <si>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</si>
  <si>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</si>
  <si>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</si>
  <si>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</si>
  <si>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</si>
  <si>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</si>
  <si>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</si>
  <si>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</si>
  <si>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</si>
  <si>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</si>
  <si>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</si>
  <si>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</si>
  <si>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</si>
  <si>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</si>
  <si>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</si>
  <si>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</si>
  <si>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</si>
  <si>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</si>
  <si>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</si>
  <si>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</si>
  <si>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</si>
  <si>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</si>
  <si>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</si>
  <si>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</si>
  <si>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</si>
  <si>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</si>
  <si>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</si>
  <si>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</si>
  <si>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</si>
  <si>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</si>
  <si>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</si>
  <si>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</si>
  <si>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</si>
  <si>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</si>
  <si>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</si>
  <si>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</si>
  <si>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</si>
  <si>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</si>
  <si>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</si>
  <si>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</si>
  <si>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</si>
  <si>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</si>
  <si>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</si>
  <si>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</si>
  <si>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</si>
  <si>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</si>
  <si>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</si>
  <si>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</si>
  <si>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</si>
  <si>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</si>
  <si>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</si>
  <si>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</si>
  <si>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</si>
  <si>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</si>
  <si>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</si>
  <si>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</si>
  <si>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</si>
  <si>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</si>
  <si>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</si>
  <si>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</si>
  <si>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</si>
  <si>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</si>
  <si>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</si>
  <si>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</si>
  <si>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</si>
  <si>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</si>
  <si>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</si>
  <si>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</si>
  <si>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</si>
  <si>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</si>
  <si>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</si>
  <si>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</si>
  <si>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</si>
  <si>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</si>
  <si>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</si>
  <si>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</si>
  <si>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</si>
  <si>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</si>
  <si>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</si>
  <si>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</si>
  <si>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</si>
  <si>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</si>
  <si>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</si>
  <si>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</si>
  <si>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</si>
  <si>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</si>
  <si>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</si>
  <si>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</si>
  <si>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</si>
  <si>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</si>
  <si>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</si>
  <si>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</si>
  <si>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</si>
  <si>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</si>
  <si>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</si>
  <si>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</si>
  <si>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</si>
  <si>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</si>
  <si>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</si>
  <si>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</si>
  <si>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</si>
  <si>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</si>
  <si>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</si>
  <si>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</si>
  <si>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</si>
  <si>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</si>
  <si>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</si>
  <si>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</si>
  <si>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</si>
  <si>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</si>
  <si>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</si>
  <si>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</si>
  <si>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</si>
  <si>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</si>
  <si>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</si>
  <si>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</si>
  <si>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</si>
  <si>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</si>
  <si>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</si>
  <si>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</si>
  <si>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</si>
  <si>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</si>
  <si>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</si>
  <si>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</si>
  <si>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</si>
  <si>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</si>
  <si>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</si>
  <si>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</si>
  <si>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</si>
  <si>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</si>
  <si>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</si>
  <si>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</si>
  <si>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</si>
  <si>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</si>
  <si>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</si>
  <si>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</si>
  <si>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</si>
  <si>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</si>
  <si>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</si>
  <si>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</si>
  <si>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</si>
  <si>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</si>
  <si>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</si>
  <si>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</si>
  <si>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</si>
  <si>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</si>
  <si>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</si>
  <si>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</si>
  <si>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</si>
  <si>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</si>
  <si>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</si>
  <si>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</si>
  <si>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</si>
  <si>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</si>
  <si>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</si>
  <si>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</si>
  <si>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</si>
  <si>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</si>
  <si>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</si>
  <si>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</si>
  <si>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</si>
  <si>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</si>
  <si>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</si>
  <si>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</si>
  <si>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</si>
  <si>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</si>
  <si>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</si>
  <si>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</si>
  <si>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</si>
  <si>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</si>
  <si>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</si>
  <si>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</si>
  <si>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</si>
  <si>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</si>
  <si>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</si>
  <si>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</si>
  <si>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</si>
  <si>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</si>
  <si>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</si>
  <si>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</si>
  <si>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</si>
  <si>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</si>
  <si>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</si>
  <si>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</si>
  <si>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</si>
  <si>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</si>
  <si>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</si>
  <si>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</si>
  <si>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</si>
  <si>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</si>
  <si>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</si>
  <si>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</si>
  <si>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</si>
  <si>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</si>
  <si>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</si>
  <si>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</si>
  <si>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</si>
  <si>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</si>
  <si>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</si>
  <si>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</si>
  <si>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</si>
  <si>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</si>
  <si>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</si>
  <si>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</si>
  <si>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</si>
  <si>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</si>
  <si>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</si>
  <si>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</si>
  <si>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</si>
  <si>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</si>
  <si>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</si>
  <si>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</si>
  <si>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</si>
  <si>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</si>
  <si>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</si>
  <si>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</si>
  <si>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</si>
  <si>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</si>
  <si>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</si>
  <si>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</si>
  <si>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</si>
  <si>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</si>
  <si>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</si>
  <si>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</si>
  <si>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</si>
  <si>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</si>
  <si>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</si>
  <si>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</si>
  <si>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</si>
  <si>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</si>
  <si>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</si>
  <si>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</si>
  <si>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</si>
  <si>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</si>
  <si>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</si>
  <si>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</si>
  <si>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</si>
  <si>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</si>
  <si>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</si>
  <si>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</si>
  <si>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</si>
  <si>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</si>
  <si>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</si>
  <si>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</si>
  <si>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</si>
  <si>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</si>
  <si>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</si>
  <si>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</si>
  <si>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</si>
  <si>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</si>
  <si>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</si>
  <si>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</si>
  <si>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</si>
  <si>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</si>
  <si>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</si>
  <si>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</si>
  <si>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</si>
  <si>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</si>
  <si>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</si>
  <si>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</si>
  <si>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</si>
  <si>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</si>
  <si>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</si>
  <si>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</si>
  <si>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</si>
  <si>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</si>
  <si>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</si>
  <si>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</si>
  <si>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</si>
  <si>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</si>
  <si>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</si>
  <si>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</si>
  <si>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</si>
  <si>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</si>
  <si>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</si>
  <si>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</si>
  <si>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</si>
  <si>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</si>
  <si>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</si>
  <si>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</si>
  <si>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</si>
  <si>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</si>
  <si>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</si>
  <si>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</si>
  <si>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</si>
  <si>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</si>
  <si>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</si>
  <si>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</si>
  <si>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</si>
  <si>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</si>
  <si>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</si>
  <si>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</si>
  <si>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</si>
  <si>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</si>
  <si>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</si>
  <si>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</si>
  <si>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</si>
  <si>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</si>
  <si>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</si>
  <si>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</si>
  <si>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</si>
  <si>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</si>
  <si>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</si>
  <si>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</si>
  <si>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</si>
  <si>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</si>
  <si>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</si>
  <si>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</si>
  <si>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</si>
  <si>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</si>
  <si>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</si>
  <si>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</si>
  <si>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</si>
  <si>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</si>
  <si>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</si>
  <si>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</si>
  <si>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</si>
  <si>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</si>
  <si>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</si>
  <si>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</si>
  <si>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</si>
  <si>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</si>
  <si>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</si>
  <si>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</si>
  <si>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</si>
  <si>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</si>
  <si>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</si>
  <si>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</si>
  <si>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</si>
  <si>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</si>
  <si>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</si>
  <si>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</si>
  <si>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</si>
  <si>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</si>
  <si>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</si>
  <si>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</si>
  <si>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</si>
  <si>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</si>
  <si>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</si>
  <si>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</si>
  <si>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</si>
  <si>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</si>
  <si>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</si>
  <si>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</si>
  <si>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</si>
  <si>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</si>
  <si>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</si>
  <si>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</si>
  <si>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</si>
  <si>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</si>
  <si>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</si>
  <si>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</si>
  <si>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</si>
  <si>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</si>
  <si>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</si>
  <si>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</si>
  <si>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</si>
  <si>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</si>
  <si>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</si>
  <si>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</si>
  <si>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</si>
  <si>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</si>
  <si>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</si>
  <si>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</si>
  <si>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</si>
  <si>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</si>
  <si>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</si>
  <si>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</si>
  <si>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</si>
  <si>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</si>
  <si>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</si>
  <si>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</si>
  <si>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</si>
  <si>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</si>
  <si>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</si>
  <si>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</si>
  <si>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</si>
  <si>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</si>
  <si>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</si>
  <si>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</si>
  <si>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</si>
  <si>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</si>
  <si>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</si>
  <si>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</si>
  <si>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</si>
  <si>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</si>
  <si>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</si>
  <si>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</si>
  <si>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</si>
  <si>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</si>
  <si>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</si>
  <si>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</si>
  <si>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</si>
  <si>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</si>
  <si>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</si>
  <si>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</si>
  <si>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</si>
  <si>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</si>
  <si>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</si>
  <si>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</si>
  <si>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</si>
  <si>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</si>
  <si>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</si>
  <si>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</si>
  <si>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</si>
  <si>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</si>
  <si>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</si>
  <si>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</si>
  <si>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</si>
  <si>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</si>
  <si>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</si>
  <si>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</si>
  <si>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</si>
  <si>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</si>
  <si>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</si>
  <si>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</si>
  <si>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</si>
  <si>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</si>
  <si>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</si>
  <si>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</si>
  <si>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</si>
  <si>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</si>
  <si>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</si>
  <si>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</si>
  <si>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</si>
  <si>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</si>
  <si>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</si>
  <si>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</si>
  <si>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</si>
  <si>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</si>
  <si>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</si>
  <si>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</si>
  <si>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</si>
  <si>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</si>
  <si>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</si>
  <si>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</si>
  <si>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</si>
  <si>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</si>
  <si>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</si>
  <si>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</si>
  <si>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</si>
  <si>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</si>
  <si>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</si>
  <si>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</si>
  <si>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</si>
  <si>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</si>
  <si>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</si>
  <si>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</si>
  <si>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</si>
  <si>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</si>
  <si>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</si>
  <si>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</si>
  <si>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</si>
  <si>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</si>
  <si>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</si>
  <si>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</si>
  <si>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</si>
  <si>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</si>
  <si>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</si>
  <si>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</si>
  <si>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</si>
  <si>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</si>
  <si>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</si>
  <si>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</si>
  <si>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</si>
  <si>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</si>
  <si>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</si>
  <si>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</si>
  <si>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</si>
  <si>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</si>
  <si>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</si>
  <si>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</si>
  <si>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</si>
  <si>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</si>
  <si>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</si>
  <si>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</si>
  <si>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</si>
  <si>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</si>
  <si>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</si>
  <si>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</si>
  <si>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</si>
  <si>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</si>
  <si>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</si>
  <si>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</si>
  <si>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</si>
  <si>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</si>
  <si>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</si>
  <si>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</si>
  <si>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</si>
  <si>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</si>
  <si>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</si>
  <si>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</si>
  <si>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</si>
  <si>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</si>
  <si>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</si>
  <si>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</si>
  <si>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</si>
  <si>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</si>
  <si>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</si>
  <si>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</si>
  <si>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</si>
  <si>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</si>
  <si>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</si>
  <si>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</si>
  <si>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</si>
  <si>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</si>
  <si>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</si>
  <si>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</si>
  <si>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</si>
  <si>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</si>
  <si>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</si>
  <si>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</si>
  <si>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</si>
  <si>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</si>
  <si>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</si>
  <si>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</si>
  <si>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</si>
  <si>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</si>
  <si>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</si>
  <si>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</si>
  <si>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</si>
  <si>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</si>
  <si>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</si>
  <si>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</si>
  <si>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</si>
  <si>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</si>
  <si>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</si>
  <si>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</si>
  <si>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</si>
  <si>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</si>
  <si>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</si>
  <si>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</si>
  <si>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</si>
  <si>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</si>
  <si>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</si>
  <si>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</si>
  <si>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</si>
  <si>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</si>
  <si>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</si>
  <si>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</si>
  <si>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</si>
  <si>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</si>
  <si>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</si>
  <si>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</si>
  <si>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</si>
  <si>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</si>
  <si>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</si>
  <si>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</si>
  <si>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</si>
  <si>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</si>
  <si>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</si>
  <si>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</si>
  <si>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</si>
  <si>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</si>
  <si>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</si>
  <si>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</si>
  <si>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</si>
  <si>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</si>
  <si>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</si>
  <si>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</si>
  <si>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</si>
  <si>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</si>
  <si>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</si>
  <si>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</si>
  <si>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</si>
  <si>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</si>
  <si>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</si>
  <si>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</si>
  <si>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</si>
  <si>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</si>
  <si>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</si>
  <si>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</si>
  <si>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</si>
  <si>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</si>
  <si>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</si>
  <si>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</si>
  <si>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</si>
  <si>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</si>
  <si>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</si>
  <si>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</si>
  <si>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</si>
  <si>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</si>
  <si>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</si>
  <si>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</si>
  <si>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</si>
  <si>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</si>
  <si>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</si>
  <si>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</si>
  <si>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</si>
  <si>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</si>
  <si>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</si>
  <si>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</si>
  <si>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</si>
  <si>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</si>
  <si>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</si>
  <si>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</si>
  <si>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</si>
  <si>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</si>
  <si>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</si>
  <si>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</si>
  <si>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</si>
  <si>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</si>
  <si>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</si>
  <si>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</si>
  <si>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</si>
  <si>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</si>
  <si>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</si>
  <si>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</si>
  <si>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</si>
  <si>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</si>
  <si>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</si>
  <si>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</si>
  <si>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</si>
  <si>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</si>
  <si>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</si>
  <si>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</si>
  <si>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</si>
  <si>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</si>
  <si>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</si>
  <si>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</si>
  <si>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</si>
  <si>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</si>
  <si>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</si>
  <si>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</si>
  <si>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</si>
  <si>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</si>
  <si>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</si>
  <si>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</si>
  <si>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</si>
  <si>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</si>
  <si>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</si>
  <si>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</si>
  <si>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</si>
  <si>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</si>
  <si>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</si>
  <si>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</si>
  <si>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</si>
  <si>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</si>
  <si>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</si>
  <si>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</si>
  <si>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</si>
  <si>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</si>
  <si>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</si>
  <si>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</si>
  <si>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</si>
  <si>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</si>
  <si>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</si>
  <si>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</si>
  <si>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</si>
  <si>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</si>
  <si>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</si>
  <si>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</si>
  <si>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</si>
  <si>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</si>
  <si>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</si>
  <si>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</si>
  <si>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</si>
  <si>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</si>
  <si>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</si>
  <si>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</si>
  <si>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</si>
  <si>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</si>
  <si>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</si>
  <si>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</si>
  <si>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</si>
  <si>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</si>
  <si>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</si>
  <si>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</si>
  <si>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</si>
  <si>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</si>
  <si>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</si>
  <si>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</si>
  <si>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</si>
  <si>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</si>
  <si>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</si>
  <si>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</si>
  <si>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</si>
  <si>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</si>
  <si>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</si>
  <si>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</si>
  <si>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</si>
  <si>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</si>
  <si>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</si>
  <si>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</si>
  <si>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</si>
  <si>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</si>
  <si>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</si>
  <si>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</si>
  <si>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</si>
  <si>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</si>
  <si>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</si>
  <si>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</si>
  <si>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</si>
  <si>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</si>
  <si>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</si>
  <si>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</si>
  <si>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</si>
  <si>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</si>
  <si>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</si>
  <si>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</si>
  <si>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</si>
  <si>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</si>
  <si>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</si>
  <si>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</si>
  <si>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</si>
  <si>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</si>
  <si>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</si>
  <si>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</si>
  <si>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</si>
  <si>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</si>
  <si>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</si>
  <si>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</si>
  <si>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Timberlane Regional School District</t>
  </si>
  <si>
    <t>07/1999</t>
  </si>
  <si>
    <t>08/2020</t>
  </si>
  <si>
    <t>4.25 to 5.25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</si>
</sst>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2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534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2306780.29+1831</f>
        <v>2308611.29</v>
      </c>
      <c r="G9" s="18">
        <f>294810.59+550</f>
        <v>295360.59000000003</v>
      </c>
      <c r="H9" s="18">
        <f>10033.85+100</f>
        <v>10133.85</v>
      </c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537811.89</v>
      </c>
      <c r="G12" s="18"/>
      <c r="H12" s="18">
        <v>3218.52</v>
      </c>
      <c r="I12" s="18"/>
      <c r="J12" s="67">
        <f>SUM(I441)</f>
        <v>30618.1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1627584.36</v>
      </c>
      <c r="G13" s="18">
        <v>12398.9</v>
      </c>
      <c r="H13" s="18">
        <v>321354.74</v>
      </c>
      <c r="I13" s="18"/>
      <c r="J13" s="67">
        <f>SUM(I442)</f>
        <v>1158638.71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88592.85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25812.27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42111.78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4604712.17</v>
      </c>
      <c r="G19" s="41">
        <f>SUM(G9:G18)</f>
        <v>333571.76000000007</v>
      </c>
      <c r="H19" s="41">
        <f>SUM(H9:H18)</f>
        <v>334707.11</v>
      </c>
      <c r="I19" s="41">
        <f>SUM(I9:I18)</f>
        <v>0</v>
      </c>
      <c r="J19" s="41">
        <f>SUM(J9:J18)</f>
        <v>1189256.81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43346.3</v>
      </c>
      <c r="G22" s="18">
        <v>201491.96</v>
      </c>
      <c r="H22" s="18">
        <f>316346.4+10133.85</f>
        <v>326480.25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32039.93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58178.81</v>
      </c>
      <c r="G24" s="18">
        <v>96200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2478.7600000000002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153063.61-400</f>
        <v>152663.60999999999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450</v>
      </c>
      <c r="G30" s="18">
        <v>35879.800000000003</v>
      </c>
      <c r="H30" s="18">
        <f>5008.34+3218.52</f>
        <v>8226.86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289157.41000000003</v>
      </c>
      <c r="G32" s="41">
        <f>SUM(G22:G31)</f>
        <v>333571.75999999995</v>
      </c>
      <c r="H32" s="41">
        <f>SUM(H22:H31)</f>
        <v>334707.11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25812.27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42111.78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-25812.27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0</v>
      </c>
      <c r="I48" s="18"/>
      <c r="J48" s="13">
        <f>SUM(I459)</f>
        <v>1189256.81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224398.32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3197385.22-98340.56+500000</f>
        <v>3599044.66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4315554.76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1189256.81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4604712.17</v>
      </c>
      <c r="G52" s="41">
        <f>G51+G32</f>
        <v>333571.75999999995</v>
      </c>
      <c r="H52" s="41">
        <f>H51+H32</f>
        <v>334707.11</v>
      </c>
      <c r="I52" s="41">
        <f>I51+I32</f>
        <v>0</v>
      </c>
      <c r="J52" s="41">
        <f>J51+J32</f>
        <v>1189256.81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46674107-6275708</f>
        <v>40398399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146417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40544816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336331.72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13832.5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16601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95281.04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462046.25999999995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/>
      <c r="H96" s="18"/>
      <c r="I96" s="18"/>
      <c r="J96" s="18">
        <v>3522.35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982784.46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0</v>
      </c>
      <c r="G101" s="18"/>
      <c r="H101" s="18">
        <v>25693.75</v>
      </c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823728.97</v>
      </c>
      <c r="G110" s="18"/>
      <c r="H110" s="18">
        <f>3798.76+5792.65+6690.61</f>
        <v>16282.02</v>
      </c>
      <c r="I110" s="18"/>
      <c r="J110" s="18">
        <v>17357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823728.97</v>
      </c>
      <c r="G111" s="41">
        <f>SUM(G96:G110)</f>
        <v>982784.46</v>
      </c>
      <c r="H111" s="41">
        <f>SUM(H96:H110)</f>
        <v>41975.770000000004</v>
      </c>
      <c r="I111" s="41">
        <f>SUM(I96:I110)</f>
        <v>0</v>
      </c>
      <c r="J111" s="41">
        <f>SUM(J96:J110)</f>
        <v>20879.349999999999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41830591.229999997</v>
      </c>
      <c r="G112" s="41">
        <f>G60+G111</f>
        <v>982784.46</v>
      </c>
      <c r="H112" s="41">
        <f>H60+H79+H94+H111</f>
        <v>41975.770000000004</v>
      </c>
      <c r="I112" s="41">
        <f>I60+I111</f>
        <v>0</v>
      </c>
      <c r="J112" s="41">
        <f>J60+J111</f>
        <v>20879.349999999999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11325097.689999999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6275708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5156.62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17605962.309999999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1103810.6599999999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629177.65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37740.6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18827.080000000002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1770728.9100000001</v>
      </c>
      <c r="G136" s="41">
        <f>SUM(G123:G135)</f>
        <v>18827.080000000002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19376691.219999999</v>
      </c>
      <c r="G140" s="41">
        <f>G121+SUM(G136:G137)</f>
        <v>18827.080000000002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3671.99</v>
      </c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279208.96000000002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112869.78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420912.18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862501.71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678043.57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681715.55999999994</v>
      </c>
      <c r="G162" s="41">
        <f>SUM(G150:G161)</f>
        <v>420912.18</v>
      </c>
      <c r="H162" s="41">
        <f>SUM(H150:H161)</f>
        <v>1254580.45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681715.55999999994</v>
      </c>
      <c r="G169" s="41">
        <f>G147+G162+SUM(G163:G168)</f>
        <v>420912.18</v>
      </c>
      <c r="H169" s="41">
        <f>H147+H162+SUM(H163:H168)</f>
        <v>1254580.45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30546.59</v>
      </c>
      <c r="H179" s="18">
        <v>9839.68</v>
      </c>
      <c r="I179" s="18"/>
      <c r="J179" s="18">
        <v>250000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30546.59</v>
      </c>
      <c r="H183" s="41">
        <f>SUM(H179:H182)</f>
        <v>9839.68</v>
      </c>
      <c r="I183" s="41">
        <f>SUM(I179:I182)</f>
        <v>0</v>
      </c>
      <c r="J183" s="41">
        <f>SUM(J179:J182)</f>
        <v>250000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30546.59</v>
      </c>
      <c r="H192" s="41">
        <f>+H183+SUM(H188:H191)</f>
        <v>9839.68</v>
      </c>
      <c r="I192" s="41">
        <f>I177+I183+SUM(I188:I191)</f>
        <v>0</v>
      </c>
      <c r="J192" s="41">
        <f>J183</f>
        <v>250000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61888998.009999998</v>
      </c>
      <c r="G193" s="47">
        <f>G112+G140+G169+G192</f>
        <v>1453070.31</v>
      </c>
      <c r="H193" s="47">
        <f>H112+H140+H169+H192</f>
        <v>1306395.8999999999</v>
      </c>
      <c r="I193" s="47">
        <f>I112+I140+I169+I192</f>
        <v>0</v>
      </c>
      <c r="J193" s="47">
        <f>J112+J140+J192</f>
        <v>270879.34999999998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7410845.7978518326</v>
      </c>
      <c r="G197" s="18">
        <v>3338558.91</v>
      </c>
      <c r="H197" s="18">
        <v>22603.899056481001</v>
      </c>
      <c r="I197" s="18">
        <v>386473.74067155353</v>
      </c>
      <c r="J197" s="18">
        <v>264454.04016618384</v>
      </c>
      <c r="K197" s="18">
        <v>0</v>
      </c>
      <c r="L197" s="19">
        <f>SUM(F197:K197)</f>
        <v>11422936.387746051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2288710.4854909414</v>
      </c>
      <c r="G198" s="18">
        <v>1031055.7</v>
      </c>
      <c r="H198" s="18">
        <v>380622.94623084669</v>
      </c>
      <c r="I198" s="18">
        <v>22284.419484982915</v>
      </c>
      <c r="J198" s="18">
        <v>15725.866494381326</v>
      </c>
      <c r="K198" s="18">
        <v>0</v>
      </c>
      <c r="L198" s="19">
        <f>SUM(F198:K198)</f>
        <v>3738399.4177011522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76831.629589944088</v>
      </c>
      <c r="G200" s="18">
        <v>34612.370000000003</v>
      </c>
      <c r="H200" s="18">
        <v>4563.9050387026691</v>
      </c>
      <c r="I200" s="18">
        <v>11141.19</v>
      </c>
      <c r="J200" s="18">
        <v>0</v>
      </c>
      <c r="K200" s="18">
        <v>0</v>
      </c>
      <c r="L200" s="19">
        <f>SUM(F200:K200)</f>
        <v>127149.09462864675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1004591.7862093736</v>
      </c>
      <c r="G202" s="18">
        <v>452564.92</v>
      </c>
      <c r="H202" s="18">
        <v>76909.266204648855</v>
      </c>
      <c r="I202" s="18">
        <v>18472.611321945093</v>
      </c>
      <c r="J202" s="18">
        <v>2581.5059928026621</v>
      </c>
      <c r="K202" s="18">
        <v>5446.2909478758802</v>
      </c>
      <c r="L202" s="19">
        <f t="shared" ref="L202:L208" si="0">SUM(F202:K202)</f>
        <v>1560566.380676646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413850.95082076255</v>
      </c>
      <c r="G203" s="18">
        <v>245989.4917336136</v>
      </c>
      <c r="H203" s="18">
        <v>89229.393840843768</v>
      </c>
      <c r="I203" s="18">
        <v>46849.783447196882</v>
      </c>
      <c r="J203" s="18">
        <v>707.56</v>
      </c>
      <c r="K203" s="18">
        <v>0</v>
      </c>
      <c r="L203" s="19">
        <f t="shared" si="0"/>
        <v>796627.1798424169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242067.89915762289</v>
      </c>
      <c r="G204" s="18">
        <v>109050.7</v>
      </c>
      <c r="H204" s="18">
        <v>569181.26995026367</v>
      </c>
      <c r="I204" s="18">
        <v>5662.1152811318843</v>
      </c>
      <c r="J204" s="18">
        <v>0</v>
      </c>
      <c r="K204" s="18">
        <v>17129.097417700246</v>
      </c>
      <c r="L204" s="19">
        <f t="shared" si="0"/>
        <v>943091.08180671872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1264710.1686418136</v>
      </c>
      <c r="G205" s="18">
        <v>569747.30000000005</v>
      </c>
      <c r="H205" s="18">
        <v>119325.87998070524</v>
      </c>
      <c r="I205" s="18">
        <v>33678.389565528596</v>
      </c>
      <c r="J205" s="18">
        <v>25334.495017540688</v>
      </c>
      <c r="K205" s="18">
        <v>8538.4454108480641</v>
      </c>
      <c r="L205" s="19">
        <f t="shared" si="0"/>
        <v>2021334.6786164362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25261.917142198359</v>
      </c>
      <c r="I206" s="18">
        <v>0</v>
      </c>
      <c r="J206" s="18">
        <v>0</v>
      </c>
      <c r="K206" s="18">
        <v>0</v>
      </c>
      <c r="L206" s="19">
        <f t="shared" si="0"/>
        <v>25261.917142198359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769339.63737554604</v>
      </c>
      <c r="G207" s="18">
        <v>358164.71022893419</v>
      </c>
      <c r="H207" s="18">
        <v>337895.13466350181</v>
      </c>
      <c r="I207" s="18">
        <v>472746.35584314103</v>
      </c>
      <c r="J207" s="18">
        <v>39275.147799238403</v>
      </c>
      <c r="K207" s="18">
        <v>0</v>
      </c>
      <c r="L207" s="19">
        <f t="shared" si="0"/>
        <v>1977420.9859103612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1067772.9268302289</v>
      </c>
      <c r="I208" s="18">
        <v>0</v>
      </c>
      <c r="J208" s="18">
        <v>0</v>
      </c>
      <c r="K208" s="18">
        <v>0</v>
      </c>
      <c r="L208" s="19">
        <f t="shared" si="0"/>
        <v>1067772.9268302289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84852.152772418136</v>
      </c>
      <c r="G209" s="18">
        <v>38225.58</v>
      </c>
      <c r="H209" s="18">
        <v>12583.515440836974</v>
      </c>
      <c r="I209" s="18">
        <v>69792.817259636067</v>
      </c>
      <c r="J209" s="18">
        <v>6262.4808380202794</v>
      </c>
      <c r="K209" s="18">
        <v>0</v>
      </c>
      <c r="L209" s="19">
        <f>SUM(F209:K209)</f>
        <v>211716.54631091145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13555800.507910253</v>
      </c>
      <c r="G211" s="41">
        <f t="shared" si="1"/>
        <v>6177969.6819625478</v>
      </c>
      <c r="H211" s="41">
        <f t="shared" si="1"/>
        <v>2705950.0543792578</v>
      </c>
      <c r="I211" s="41">
        <f t="shared" si="1"/>
        <v>1067101.4228751159</v>
      </c>
      <c r="J211" s="41">
        <f t="shared" si="1"/>
        <v>354341.09630816721</v>
      </c>
      <c r="K211" s="41">
        <f t="shared" si="1"/>
        <v>31113.833776424191</v>
      </c>
      <c r="L211" s="41">
        <f t="shared" si="1"/>
        <v>23892276.597211767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4322840.0769940363</v>
      </c>
      <c r="G215" s="18">
        <v>1947423.63</v>
      </c>
      <c r="H215" s="18">
        <v>16232.971482300887</v>
      </c>
      <c r="I215" s="18">
        <v>208718.84102202771</v>
      </c>
      <c r="J215" s="18">
        <v>168233.900204887</v>
      </c>
      <c r="K215" s="18">
        <v>1689</v>
      </c>
      <c r="L215" s="19">
        <f>SUM(F215:K215)</f>
        <v>6665138.4197032517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1695953.0521936323</v>
      </c>
      <c r="G216" s="18">
        <v>764020.64</v>
      </c>
      <c r="H216" s="18">
        <v>513860.64093016542</v>
      </c>
      <c r="I216" s="18">
        <v>19550.427485571374</v>
      </c>
      <c r="J216" s="18">
        <v>9326.5091713158909</v>
      </c>
      <c r="K216" s="18">
        <v>0</v>
      </c>
      <c r="L216" s="19">
        <f>SUM(F216:K216)</f>
        <v>3002711.2697806852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102216.56894286265</v>
      </c>
      <c r="G218" s="18">
        <v>46048.19</v>
      </c>
      <c r="H218" s="18">
        <v>26315.032248941901</v>
      </c>
      <c r="I218" s="18">
        <v>10581.79</v>
      </c>
      <c r="J218" s="18">
        <v>3509.38</v>
      </c>
      <c r="K218" s="18">
        <v>1570</v>
      </c>
      <c r="L218" s="19">
        <f>SUM(F218:K218)</f>
        <v>190240.96119180456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751282.61618459027</v>
      </c>
      <c r="G220" s="18">
        <v>338450.07</v>
      </c>
      <c r="H220" s="18">
        <v>47412.429488264723</v>
      </c>
      <c r="I220" s="18">
        <v>10143.796062908812</v>
      </c>
      <c r="J220" s="18">
        <f>1531.00875721431</f>
        <v>1531.00875721431</v>
      </c>
      <c r="K220" s="18">
        <v>3230.0212196998846</v>
      </c>
      <c r="L220" s="19">
        <f t="shared" ref="L220:L226" si="2">SUM(F220:K220)</f>
        <v>1152049.9417126779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156893.42225808004</v>
      </c>
      <c r="G221" s="18">
        <v>105997.79617208542</v>
      </c>
      <c r="H221" s="18">
        <v>47001.445348210851</v>
      </c>
      <c r="I221" s="18">
        <v>39969.540960946513</v>
      </c>
      <c r="J221" s="18">
        <v>4647.83</v>
      </c>
      <c r="K221" s="18">
        <v>0</v>
      </c>
      <c r="L221" s="19">
        <f t="shared" si="2"/>
        <v>354510.03473932284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143562.73992160449</v>
      </c>
      <c r="G222" s="18">
        <v>64674.49</v>
      </c>
      <c r="H222" s="18">
        <v>337563.23292131588</v>
      </c>
      <c r="I222" s="18">
        <v>3358.0197388418628</v>
      </c>
      <c r="J222" s="18">
        <v>0</v>
      </c>
      <c r="K222" s="18">
        <v>10158.720616102348</v>
      </c>
      <c r="L222" s="19">
        <f t="shared" si="2"/>
        <v>559317.20319786458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539380.15418863029</v>
      </c>
      <c r="G223" s="18">
        <v>242988.79</v>
      </c>
      <c r="H223" s="18">
        <v>27418.616605425166</v>
      </c>
      <c r="I223" s="18">
        <v>42795.942242689496</v>
      </c>
      <c r="J223" s="18">
        <v>19795.886267795308</v>
      </c>
      <c r="K223" s="18">
        <v>5513.8792756829553</v>
      </c>
      <c r="L223" s="19">
        <f t="shared" si="2"/>
        <v>877893.26858022332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14982.036251923819</v>
      </c>
      <c r="I224" s="18">
        <v>0</v>
      </c>
      <c r="J224" s="18">
        <v>0</v>
      </c>
      <c r="K224" s="18">
        <v>0</v>
      </c>
      <c r="L224" s="19">
        <f t="shared" si="2"/>
        <v>14982.036251923819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318884.64434349746</v>
      </c>
      <c r="G225" s="18">
        <v>150524.11015967678</v>
      </c>
      <c r="H225" s="18">
        <v>200394.8128078107</v>
      </c>
      <c r="I225" s="18">
        <v>205466.1356819931</v>
      </c>
      <c r="J225" s="18">
        <v>23292.835805598308</v>
      </c>
      <c r="K225" s="18">
        <v>0</v>
      </c>
      <c r="L225" s="19">
        <f t="shared" si="2"/>
        <v>898562.53879857634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649594.4</v>
      </c>
      <c r="I226" s="18">
        <v>0</v>
      </c>
      <c r="J226" s="18">
        <v>0</v>
      </c>
      <c r="K226" s="18">
        <v>0</v>
      </c>
      <c r="L226" s="19">
        <f t="shared" si="2"/>
        <v>649594.4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50323.101834840323</v>
      </c>
      <c r="G227" s="18">
        <v>22670.37</v>
      </c>
      <c r="H227" s="18">
        <v>7462.8811206233167</v>
      </c>
      <c r="I227" s="18">
        <v>41391.890901308201</v>
      </c>
      <c r="J227" s="18">
        <v>3714.0773763947673</v>
      </c>
      <c r="K227" s="18">
        <v>0</v>
      </c>
      <c r="L227" s="19">
        <f>SUM(F227:K227)</f>
        <v>125562.32123316661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8081336.3768617734</v>
      </c>
      <c r="G229" s="41">
        <f>SUM(G215:G228)</f>
        <v>3682798.0863317624</v>
      </c>
      <c r="H229" s="41">
        <f>SUM(H215:H228)</f>
        <v>1888238.4992049828</v>
      </c>
      <c r="I229" s="41">
        <f>SUM(I215:I228)</f>
        <v>581976.38409628707</v>
      </c>
      <c r="J229" s="41">
        <f>SUM(J215:J228)</f>
        <v>234051.4275832056</v>
      </c>
      <c r="K229" s="41">
        <f t="shared" si="3"/>
        <v>22161.62111148519</v>
      </c>
      <c r="L229" s="41">
        <f t="shared" si="3"/>
        <v>14490562.395189496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5399840.9451541314</v>
      </c>
      <c r="G233" s="18">
        <v>2432608.58</v>
      </c>
      <c r="H233" s="18">
        <v>44537.449461218115</v>
      </c>
      <c r="I233" s="18">
        <v>427685.96830641874</v>
      </c>
      <c r="J233" s="18">
        <v>270841.5496289297</v>
      </c>
      <c r="K233" s="18">
        <v>3910</v>
      </c>
      <c r="L233" s="19">
        <f>SUM(F233:K233)</f>
        <v>8579424.4925506972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2124000.7123154271</v>
      </c>
      <c r="G234" s="18">
        <v>956854.55</v>
      </c>
      <c r="H234" s="18">
        <v>1023681.5628389878</v>
      </c>
      <c r="I234" s="18">
        <v>21997.403029445715</v>
      </c>
      <c r="J234" s="18">
        <v>13127.734334302788</v>
      </c>
      <c r="K234" s="18">
        <v>0</v>
      </c>
      <c r="L234" s="19">
        <f>SUM(F234:K234)</f>
        <v>4139661.962518163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100459.06</v>
      </c>
      <c r="I235" s="18">
        <v>0</v>
      </c>
      <c r="J235" s="18">
        <v>0</v>
      </c>
      <c r="K235" s="18">
        <v>0</v>
      </c>
      <c r="L235" s="19">
        <f>SUM(F235:K235)</f>
        <v>100459.06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312761.42146719329</v>
      </c>
      <c r="G236" s="18">
        <v>140897.88</v>
      </c>
      <c r="H236" s="18">
        <v>95095.322712355424</v>
      </c>
      <c r="I236" s="18">
        <v>54007.29</v>
      </c>
      <c r="J236" s="18">
        <v>5742.66</v>
      </c>
      <c r="K236" s="18">
        <v>82233.539999999994</v>
      </c>
      <c r="L236" s="19">
        <f>SUM(F236:K236)</f>
        <v>690738.11417954881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1268193.7776060363</v>
      </c>
      <c r="G238" s="18">
        <v>571316.66</v>
      </c>
      <c r="H238" s="18">
        <v>70730.864307086435</v>
      </c>
      <c r="I238" s="18">
        <v>16190.272615146097</v>
      </c>
      <c r="J238" s="18">
        <v>2155.0052499830254</v>
      </c>
      <c r="K238" s="18">
        <v>4546.4878324242354</v>
      </c>
      <c r="L238" s="19">
        <f t="shared" ref="L238:L244" si="4">SUM(F238:K238)</f>
        <v>1933133.0676106759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159243.35692115745</v>
      </c>
      <c r="G239" s="18">
        <v>121451.02209430098</v>
      </c>
      <c r="H239" s="18">
        <v>64399.460810945391</v>
      </c>
      <c r="I239" s="18">
        <v>46045.335591856601</v>
      </c>
      <c r="J239" s="18">
        <v>4383.22</v>
      </c>
      <c r="K239" s="18">
        <v>0</v>
      </c>
      <c r="L239" s="19">
        <f t="shared" si="4"/>
        <v>395522.39541826036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202074.91092077273</v>
      </c>
      <c r="G240" s="18">
        <v>91034.01</v>
      </c>
      <c r="H240" s="18">
        <v>475144.59712842043</v>
      </c>
      <c r="I240" s="18">
        <v>4726.6549800262546</v>
      </c>
      <c r="J240" s="18">
        <v>0</v>
      </c>
      <c r="K240" s="18">
        <v>14299.131966197407</v>
      </c>
      <c r="L240" s="19">
        <f t="shared" si="4"/>
        <v>787279.30499541678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739946.44716955617</v>
      </c>
      <c r="G241" s="18">
        <v>333343.17</v>
      </c>
      <c r="H241" s="18">
        <v>46042.463413869591</v>
      </c>
      <c r="I241" s="18">
        <v>53784.858191781903</v>
      </c>
      <c r="J241" s="18">
        <v>18309.478714664012</v>
      </c>
      <c r="K241" s="18">
        <f>7452.77531346898</f>
        <v>7452.7753134689801</v>
      </c>
      <c r="L241" s="19">
        <f t="shared" si="4"/>
        <v>1198879.1928033405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21088.296605877829</v>
      </c>
      <c r="I242" s="18">
        <v>0</v>
      </c>
      <c r="J242" s="18">
        <v>0</v>
      </c>
      <c r="K242" s="18">
        <v>0</v>
      </c>
      <c r="L242" s="19">
        <f t="shared" si="4"/>
        <v>21088.296605877829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426662.43828095647</v>
      </c>
      <c r="G243" s="18">
        <v>201876.709611389</v>
      </c>
      <c r="H243" s="18">
        <v>373536.89252868749</v>
      </c>
      <c r="I243" s="18">
        <v>367213.3484748659</v>
      </c>
      <c r="J243" s="18">
        <v>32786.346395163302</v>
      </c>
      <c r="K243" s="18">
        <v>0</v>
      </c>
      <c r="L243" s="19">
        <f t="shared" si="4"/>
        <v>1402075.7352910622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1028814.8519500713</v>
      </c>
      <c r="I244" s="18">
        <v>0</v>
      </c>
      <c r="J244" s="18">
        <v>0</v>
      </c>
      <c r="K244" s="18">
        <v>0</v>
      </c>
      <c r="L244" s="19">
        <f t="shared" si="4"/>
        <v>1028814.8519500713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70833.395392741557</v>
      </c>
      <c r="G245" s="18">
        <v>31910.19</v>
      </c>
      <c r="H245" s="18">
        <v>10504.543438539709</v>
      </c>
      <c r="I245" s="18">
        <v>58262.071839055745</v>
      </c>
      <c r="J245" s="18">
        <v>5227.8317855849536</v>
      </c>
      <c r="K245" s="18">
        <v>0</v>
      </c>
      <c r="L245" s="19">
        <f>SUM(F245:K245)</f>
        <v>176738.03245592196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10703557.405227972</v>
      </c>
      <c r="G247" s="41">
        <f t="shared" si="5"/>
        <v>4881292.7717056898</v>
      </c>
      <c r="H247" s="41">
        <f t="shared" si="5"/>
        <v>3354035.3651960595</v>
      </c>
      <c r="I247" s="41">
        <f t="shared" si="5"/>
        <v>1049913.2030285969</v>
      </c>
      <c r="J247" s="41">
        <f t="shared" si="5"/>
        <v>352573.82610862778</v>
      </c>
      <c r="K247" s="41">
        <f t="shared" si="5"/>
        <v>112441.93511209062</v>
      </c>
      <c r="L247" s="41">
        <f t="shared" si="5"/>
        <v>20453814.506379038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124449.56</v>
      </c>
      <c r="G251" s="18">
        <v>56064.07</v>
      </c>
      <c r="H251" s="18">
        <v>472.5</v>
      </c>
      <c r="I251" s="18">
        <v>25605.83</v>
      </c>
      <c r="J251" s="18">
        <v>0</v>
      </c>
      <c r="K251" s="18">
        <v>0</v>
      </c>
      <c r="L251" s="19">
        <f t="shared" si="6"/>
        <v>206591.96000000002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176421.64+499285.2</f>
        <v>675706.84000000008</v>
      </c>
      <c r="I255" s="18"/>
      <c r="J255" s="18"/>
      <c r="K255" s="18"/>
      <c r="L255" s="19">
        <f t="shared" si="6"/>
        <v>675706.84000000008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124449.56</v>
      </c>
      <c r="G256" s="41">
        <f t="shared" si="7"/>
        <v>56064.07</v>
      </c>
      <c r="H256" s="41">
        <f t="shared" si="7"/>
        <v>676179.34000000008</v>
      </c>
      <c r="I256" s="41">
        <f t="shared" si="7"/>
        <v>25605.83</v>
      </c>
      <c r="J256" s="41">
        <f t="shared" si="7"/>
        <v>0</v>
      </c>
      <c r="K256" s="41">
        <f t="shared" si="7"/>
        <v>0</v>
      </c>
      <c r="L256" s="41">
        <f>SUM(F256:K256)</f>
        <v>882298.8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32465143.849999998</v>
      </c>
      <c r="G257" s="41">
        <f t="shared" si="8"/>
        <v>14798124.609999999</v>
      </c>
      <c r="H257" s="41">
        <f t="shared" si="8"/>
        <v>8624403.2587803006</v>
      </c>
      <c r="I257" s="41">
        <f t="shared" si="8"/>
        <v>2724596.84</v>
      </c>
      <c r="J257" s="41">
        <f t="shared" si="8"/>
        <v>940966.35000000056</v>
      </c>
      <c r="K257" s="41">
        <f t="shared" si="8"/>
        <v>165717.39000000001</v>
      </c>
      <c r="L257" s="41">
        <f t="shared" si="8"/>
        <v>59718952.2987803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1600000</v>
      </c>
      <c r="L260" s="19">
        <f>SUM(F260:K260)</f>
        <v>1600000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378000</v>
      </c>
      <c r="L261" s="19">
        <f>SUM(F261:K261)</f>
        <v>378000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30546.59</f>
        <v>30546.59</v>
      </c>
      <c r="L263" s="19">
        <f>SUM(F263:K263)</f>
        <v>30546.59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f>9839.68</f>
        <v>9839.68</v>
      </c>
      <c r="L264" s="19">
        <f t="shared" ref="L264:L270" si="9">SUM(F264:K264)</f>
        <v>9839.68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250000</v>
      </c>
      <c r="L266" s="19">
        <f t="shared" si="9"/>
        <v>250000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2268386.27</v>
      </c>
      <c r="L270" s="41">
        <f t="shared" si="9"/>
        <v>2268386.27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32465143.849999998</v>
      </c>
      <c r="G271" s="42">
        <f t="shared" si="11"/>
        <v>14798124.609999999</v>
      </c>
      <c r="H271" s="42">
        <f t="shared" si="11"/>
        <v>8624403.2587803006</v>
      </c>
      <c r="I271" s="42">
        <f t="shared" si="11"/>
        <v>2724596.84</v>
      </c>
      <c r="J271" s="42">
        <f t="shared" si="11"/>
        <v>940966.35000000056</v>
      </c>
      <c r="K271" s="42">
        <f t="shared" si="11"/>
        <v>2434103.66</v>
      </c>
      <c r="L271" s="42">
        <f t="shared" si="11"/>
        <v>61987338.568780303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191301.25</v>
      </c>
      <c r="G276" s="18">
        <v>14634.56</v>
      </c>
      <c r="H276" s="18">
        <v>0</v>
      </c>
      <c r="I276" s="18">
        <v>54591.531815404116</v>
      </c>
      <c r="J276" s="18">
        <v>17868.789999999997</v>
      </c>
      <c r="K276" s="18">
        <v>0</v>
      </c>
      <c r="L276" s="19">
        <f>SUM(F276:K276)</f>
        <v>278396.13181540411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273253.10872119933</v>
      </c>
      <c r="G277" s="18">
        <v>0</v>
      </c>
      <c r="H277" s="18">
        <v>73449.634969897932</v>
      </c>
      <c r="I277" s="18">
        <v>4175.0778403458344</v>
      </c>
      <c r="J277" s="18">
        <v>2185.469020890388</v>
      </c>
      <c r="K277" s="18">
        <v>0</v>
      </c>
      <c r="L277" s="19">
        <f>SUM(F277:K277)</f>
        <v>353063.29055233346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548.3484286094199</v>
      </c>
      <c r="J279" s="18">
        <v>0</v>
      </c>
      <c r="K279" s="18">
        <v>0</v>
      </c>
      <c r="L279" s="19">
        <f>SUM(F279:K279)</f>
        <v>548.3484286094199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14375.348787288098</v>
      </c>
      <c r="G282" s="18">
        <v>1029.6046882002129</v>
      </c>
      <c r="H282" s="18">
        <v>33483.481662404098</v>
      </c>
      <c r="I282" s="18">
        <v>-268.42222130117926</v>
      </c>
      <c r="J282" s="18">
        <v>0</v>
      </c>
      <c r="K282" s="18">
        <v>50</v>
      </c>
      <c r="L282" s="19">
        <f t="shared" si="12"/>
        <v>48670.012916591222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1920</v>
      </c>
      <c r="I287" s="18">
        <v>0</v>
      </c>
      <c r="J287" s="18">
        <v>0</v>
      </c>
      <c r="K287" s="18">
        <v>0</v>
      </c>
      <c r="L287" s="19">
        <f t="shared" si="12"/>
        <v>1920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478929.70750848745</v>
      </c>
      <c r="G290" s="42">
        <f t="shared" si="13"/>
        <v>15664.164688200213</v>
      </c>
      <c r="H290" s="42">
        <f t="shared" si="13"/>
        <v>108853.11663230203</v>
      </c>
      <c r="I290" s="42">
        <f t="shared" si="13"/>
        <v>59046.535863058183</v>
      </c>
      <c r="J290" s="42">
        <f t="shared" si="13"/>
        <v>20054.259020890386</v>
      </c>
      <c r="K290" s="42">
        <f t="shared" si="13"/>
        <v>50</v>
      </c>
      <c r="L290" s="41">
        <f t="shared" si="13"/>
        <v>682597.78371293831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146.56598691804541</v>
      </c>
      <c r="J295" s="18">
        <v>0</v>
      </c>
      <c r="K295" s="18">
        <v>0</v>
      </c>
      <c r="L295" s="19">
        <f>SUM(F295:K295)</f>
        <v>146.56598691804541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162057.69173287804</v>
      </c>
      <c r="G296" s="18">
        <v>0</v>
      </c>
      <c r="H296" s="18">
        <v>43560.632695267414</v>
      </c>
      <c r="I296" s="18">
        <v>2476.1053251250482</v>
      </c>
      <c r="J296" s="18">
        <v>1296.1318776452483</v>
      </c>
      <c r="K296" s="18">
        <v>0</v>
      </c>
      <c r="L296" s="19">
        <f>SUM(F296:K296)</f>
        <v>209390.56163091573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0</v>
      </c>
      <c r="G298" s="18">
        <v>0</v>
      </c>
      <c r="H298" s="18">
        <v>0</v>
      </c>
      <c r="I298" s="18">
        <v>325.20794007310508</v>
      </c>
      <c r="J298" s="18">
        <v>0</v>
      </c>
      <c r="K298" s="18">
        <v>0</v>
      </c>
      <c r="L298" s="19">
        <f>SUM(F298:K298)</f>
        <v>325.20794007310508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8525.5602515390547</v>
      </c>
      <c r="G301" s="18">
        <v>610.62565746440941</v>
      </c>
      <c r="H301" s="18">
        <v>19827.97434782609</v>
      </c>
      <c r="I301" s="18">
        <v>-159.19264669103504</v>
      </c>
      <c r="J301" s="18">
        <v>0</v>
      </c>
      <c r="K301" s="18">
        <v>0</v>
      </c>
      <c r="L301" s="19">
        <f t="shared" si="14"/>
        <v>28804.967610138519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170583.25198441709</v>
      </c>
      <c r="G309" s="42">
        <f t="shared" si="15"/>
        <v>610.62565746440941</v>
      </c>
      <c r="H309" s="42">
        <f t="shared" si="15"/>
        <v>63388.607043093507</v>
      </c>
      <c r="I309" s="42">
        <f t="shared" si="15"/>
        <v>2788.6866054251636</v>
      </c>
      <c r="J309" s="42">
        <f t="shared" si="15"/>
        <v>1296.1318776452483</v>
      </c>
      <c r="K309" s="42">
        <f t="shared" si="15"/>
        <v>0</v>
      </c>
      <c r="L309" s="41">
        <f t="shared" si="15"/>
        <v>238667.30316804542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1300</v>
      </c>
      <c r="G314" s="18">
        <v>0</v>
      </c>
      <c r="H314" s="18">
        <v>0</v>
      </c>
      <c r="I314" s="18">
        <v>3653.61219767784</v>
      </c>
      <c r="J314" s="18">
        <v>852.15</v>
      </c>
      <c r="K314" s="18">
        <v>0</v>
      </c>
      <c r="L314" s="19">
        <f>SUM(F314:K314)</f>
        <v>5805.7621976778391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228157.88954592263</v>
      </c>
      <c r="G315" s="18">
        <v>0</v>
      </c>
      <c r="H315" s="18">
        <v>61314.732334834669</v>
      </c>
      <c r="I315" s="18">
        <v>3701.1668345291173</v>
      </c>
      <c r="J315" s="18">
        <v>1824.3991014643643</v>
      </c>
      <c r="K315" s="18">
        <v>0</v>
      </c>
      <c r="L315" s="19">
        <f>SUM(F315:K315)</f>
        <v>294998.18781675078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557.75363131747508</v>
      </c>
      <c r="J317" s="18">
        <v>0</v>
      </c>
      <c r="K317" s="18">
        <v>0</v>
      </c>
      <c r="L317" s="19">
        <f>SUM(F317:K317)</f>
        <v>557.75363131747508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1000</v>
      </c>
      <c r="J319" s="18">
        <v>0</v>
      </c>
      <c r="K319" s="18">
        <v>0</v>
      </c>
      <c r="L319" s="19">
        <f t="shared" ref="L319:L325" si="16">SUM(F319:K319)</f>
        <v>1000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12000.340961172849</v>
      </c>
      <c r="G320" s="18">
        <v>859.49965433537795</v>
      </c>
      <c r="H320" s="18">
        <v>27909.303989769825</v>
      </c>
      <c r="I320" s="18">
        <v>-224.07513200778584</v>
      </c>
      <c r="J320" s="18">
        <v>0</v>
      </c>
      <c r="K320" s="18">
        <v>0</v>
      </c>
      <c r="L320" s="19">
        <f t="shared" si="16"/>
        <v>40545.069473270269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241458.23050709549</v>
      </c>
      <c r="G328" s="42">
        <f t="shared" si="17"/>
        <v>859.49965433537795</v>
      </c>
      <c r="H328" s="42">
        <f t="shared" si="17"/>
        <v>89224.036324604502</v>
      </c>
      <c r="I328" s="42">
        <f t="shared" si="17"/>
        <v>8688.4575315166476</v>
      </c>
      <c r="J328" s="42">
        <f t="shared" si="17"/>
        <v>2676.5491014643644</v>
      </c>
      <c r="K328" s="42">
        <f t="shared" si="17"/>
        <v>0</v>
      </c>
      <c r="L328" s="41">
        <f t="shared" si="17"/>
        <v>342906.77311901638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18719.919999999998</v>
      </c>
      <c r="G335" s="18">
        <v>1253.6099999999999</v>
      </c>
      <c r="H335" s="18">
        <v>43782.6</v>
      </c>
      <c r="I335" s="18">
        <v>3307.89</v>
      </c>
      <c r="J335" s="18">
        <f>6444.39</f>
        <v>6444.39</v>
      </c>
      <c r="K335" s="18">
        <v>0</v>
      </c>
      <c r="L335" s="19">
        <f t="shared" si="18"/>
        <v>73508.41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18719.919999999998</v>
      </c>
      <c r="G337" s="41">
        <f t="shared" si="19"/>
        <v>1253.6099999999999</v>
      </c>
      <c r="H337" s="41">
        <f t="shared" si="19"/>
        <v>43782.6</v>
      </c>
      <c r="I337" s="41">
        <f t="shared" si="19"/>
        <v>3307.89</v>
      </c>
      <c r="J337" s="41">
        <f t="shared" si="19"/>
        <v>6444.39</v>
      </c>
      <c r="K337" s="41">
        <f t="shared" si="19"/>
        <v>0</v>
      </c>
      <c r="L337" s="41">
        <f t="shared" si="18"/>
        <v>73508.41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909691.1100000001</v>
      </c>
      <c r="G338" s="41">
        <f t="shared" si="20"/>
        <v>18387.900000000001</v>
      </c>
      <c r="H338" s="41">
        <f t="shared" si="20"/>
        <v>305248.36000000004</v>
      </c>
      <c r="I338" s="41">
        <f t="shared" si="20"/>
        <v>73831.569999999992</v>
      </c>
      <c r="J338" s="41">
        <f t="shared" si="20"/>
        <v>30471.329999999998</v>
      </c>
      <c r="K338" s="41">
        <f t="shared" si="20"/>
        <v>50</v>
      </c>
      <c r="L338" s="41">
        <f t="shared" si="20"/>
        <v>1337680.27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909691.1100000001</v>
      </c>
      <c r="G352" s="41">
        <f>G338</f>
        <v>18387.900000000001</v>
      </c>
      <c r="H352" s="41">
        <f>H338</f>
        <v>305248.36000000004</v>
      </c>
      <c r="I352" s="41">
        <f>I338</f>
        <v>73831.569999999992</v>
      </c>
      <c r="J352" s="41">
        <f>J338</f>
        <v>30471.329999999998</v>
      </c>
      <c r="K352" s="47">
        <f>K338+K351</f>
        <v>50</v>
      </c>
      <c r="L352" s="41">
        <f>L338+L351</f>
        <v>1337680.27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261016.13734295432</v>
      </c>
      <c r="G358" s="18">
        <v>56233.53</v>
      </c>
      <c r="H358" s="18">
        <v>5016.6499999999996</v>
      </c>
      <c r="I358" s="18">
        <v>275291.86638879776</v>
      </c>
      <c r="J358" s="18">
        <v>0</v>
      </c>
      <c r="K358" s="18">
        <v>14416.022565240026</v>
      </c>
      <c r="L358" s="13">
        <f>SUM(F358:K358)</f>
        <v>611974.20629699214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141540.1019233359</v>
      </c>
      <c r="G359" s="18">
        <v>30493.51</v>
      </c>
      <c r="H359" s="18">
        <v>4064.57</v>
      </c>
      <c r="I359" s="18">
        <v>158946.55018516741</v>
      </c>
      <c r="J359" s="18">
        <v>0</v>
      </c>
      <c r="K359" s="18">
        <v>8549.6825702193164</v>
      </c>
      <c r="L359" s="19">
        <f>SUM(F359:K359)</f>
        <v>343594.41467872268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210155.8407337098</v>
      </c>
      <c r="G360" s="18">
        <v>45276.15</v>
      </c>
      <c r="H360" s="18">
        <v>3217.26</v>
      </c>
      <c r="I360" s="18">
        <v>226818.14342603492</v>
      </c>
      <c r="J360" s="18">
        <v>0</v>
      </c>
      <c r="K360" s="18">
        <v>12034.294864540661</v>
      </c>
      <c r="L360" s="19">
        <f>SUM(F360:K360)</f>
        <v>497501.68902428541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612712.08000000007</v>
      </c>
      <c r="G362" s="47">
        <f t="shared" si="22"/>
        <v>132003.19</v>
      </c>
      <c r="H362" s="47">
        <f t="shared" si="22"/>
        <v>12298.48</v>
      </c>
      <c r="I362" s="47">
        <f t="shared" si="22"/>
        <v>661056.56000000006</v>
      </c>
      <c r="J362" s="47">
        <f t="shared" si="22"/>
        <v>0</v>
      </c>
      <c r="K362" s="47">
        <f t="shared" si="22"/>
        <v>35000</v>
      </c>
      <c r="L362" s="47">
        <f t="shared" si="22"/>
        <v>1453070.3100000003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211482.66385889371</v>
      </c>
      <c r="G367" s="18">
        <v>125423.61368507119</v>
      </c>
      <c r="H367" s="18">
        <v>176542.78245603514</v>
      </c>
      <c r="I367" s="56">
        <f>SUM(F367:H367)</f>
        <v>513449.06000000006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63809.202529904032</v>
      </c>
      <c r="G368" s="63">
        <v>33522.936500096192</v>
      </c>
      <c r="H368" s="63">
        <v>50275.360969999776</v>
      </c>
      <c r="I368" s="56">
        <f>SUM(F368:H368)</f>
        <v>147607.5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275291.86638879776</v>
      </c>
      <c r="G369" s="47">
        <f>SUM(G367:G368)</f>
        <v>158946.55018516738</v>
      </c>
      <c r="H369" s="47">
        <f>SUM(H367:H368)</f>
        <v>226818.14342603492</v>
      </c>
      <c r="I369" s="47">
        <f>SUM(I367:I368)</f>
        <v>661056.56000000006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250000</v>
      </c>
      <c r="H388" s="18">
        <v>3522.35</v>
      </c>
      <c r="I388" s="18"/>
      <c r="J388" s="24" t="s">
        <v>289</v>
      </c>
      <c r="K388" s="24" t="s">
        <v>289</v>
      </c>
      <c r="L388" s="56">
        <f t="shared" si="25"/>
        <v>253522.35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250000</v>
      </c>
      <c r="H393" s="139">
        <f>SUM(H387:H392)</f>
        <v>3522.35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253522.35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>
        <v>17357</v>
      </c>
      <c r="J400" s="24" t="s">
        <v>289</v>
      </c>
      <c r="K400" s="24" t="s">
        <v>289</v>
      </c>
      <c r="L400" s="56">
        <f t="shared" si="26"/>
        <v>17357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17357</v>
      </c>
      <c r="J401" s="45" t="s">
        <v>289</v>
      </c>
      <c r="K401" s="45" t="s">
        <v>289</v>
      </c>
      <c r="L401" s="47">
        <f>SUM(L395:L400)</f>
        <v>17357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250000</v>
      </c>
      <c r="H408" s="47">
        <f>H393+H401+H407</f>
        <v>3522.35</v>
      </c>
      <c r="I408" s="47">
        <f>I393+I401+I407</f>
        <v>17357</v>
      </c>
      <c r="J408" s="24" t="s">
        <v>289</v>
      </c>
      <c r="K408" s="24" t="s">
        <v>289</v>
      </c>
      <c r="L408" s="47">
        <f>L393+L401+L407</f>
        <v>270879.34999999998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f>2077.05+55574</f>
        <v>57651.05</v>
      </c>
      <c r="I426" s="18">
        <v>478.5</v>
      </c>
      <c r="J426" s="18">
        <f>17789.22+5117.35</f>
        <v>22906.57</v>
      </c>
      <c r="K426" s="18"/>
      <c r="L426" s="56">
        <f t="shared" si="29"/>
        <v>81036.12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57651.05</v>
      </c>
      <c r="I427" s="47">
        <f t="shared" si="30"/>
        <v>478.5</v>
      </c>
      <c r="J427" s="47">
        <f t="shared" si="30"/>
        <v>22906.57</v>
      </c>
      <c r="K427" s="47">
        <f t="shared" si="30"/>
        <v>0</v>
      </c>
      <c r="L427" s="47">
        <f t="shared" si="30"/>
        <v>81036.12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57651.05</v>
      </c>
      <c r="I434" s="47">
        <f t="shared" si="32"/>
        <v>478.5</v>
      </c>
      <c r="J434" s="47">
        <f t="shared" si="32"/>
        <v>22906.57</v>
      </c>
      <c r="K434" s="47">
        <f t="shared" si="32"/>
        <v>0</v>
      </c>
      <c r="L434" s="47">
        <f t="shared" si="32"/>
        <v>81036.12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f>30288.1+330</f>
        <v>30618.1</v>
      </c>
      <c r="H441" s="18"/>
      <c r="I441" s="56">
        <f t="shared" si="33"/>
        <v>30618.1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1158638.71</v>
      </c>
      <c r="G442" s="18"/>
      <c r="H442" s="18"/>
      <c r="I442" s="56">
        <f t="shared" si="33"/>
        <v>1158638.71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1158638.71</v>
      </c>
      <c r="G446" s="13">
        <f>SUM(G439:G445)</f>
        <v>30618.1</v>
      </c>
      <c r="H446" s="13">
        <f>SUM(H439:H445)</f>
        <v>0</v>
      </c>
      <c r="I446" s="13">
        <f>SUM(I439:I445)</f>
        <v>1189256.81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1158638.71</v>
      </c>
      <c r="G459" s="18">
        <v>30618.1</v>
      </c>
      <c r="H459" s="18"/>
      <c r="I459" s="56">
        <f t="shared" si="34"/>
        <v>1189256.81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1158638.71</v>
      </c>
      <c r="G460" s="83">
        <f>SUM(G454:G459)</f>
        <v>30618.1</v>
      </c>
      <c r="H460" s="83">
        <f>SUM(H454:H459)</f>
        <v>0</v>
      </c>
      <c r="I460" s="83">
        <f>SUM(I454:I459)</f>
        <v>1189256.81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1158638.71</v>
      </c>
      <c r="G461" s="42">
        <f>G452+G460</f>
        <v>30618.1</v>
      </c>
      <c r="H461" s="42">
        <f>H452+H460</f>
        <v>0</v>
      </c>
      <c r="I461" s="42">
        <f>I452+I460</f>
        <v>1189256.81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4413895.32</v>
      </c>
      <c r="G465" s="18">
        <v>0</v>
      </c>
      <c r="H465" s="18">
        <v>31284.37</v>
      </c>
      <c r="I465" s="18"/>
      <c r="J465" s="18">
        <v>999413.58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61888998.009999998</v>
      </c>
      <c r="G468" s="18">
        <v>1453070.31</v>
      </c>
      <c r="H468" s="18">
        <f>1258379.21+5792.65+42224.04</f>
        <v>1306395.8999999999</v>
      </c>
      <c r="I468" s="18"/>
      <c r="J468" s="18">
        <f>3522.35+17357+250000</f>
        <v>270879.34999999998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61888998.009999998</v>
      </c>
      <c r="G470" s="53">
        <f>SUM(G468:G469)</f>
        <v>1453070.31</v>
      </c>
      <c r="H470" s="53">
        <f>SUM(H468:H469)</f>
        <v>1306395.8999999999</v>
      </c>
      <c r="I470" s="53">
        <f>SUM(I468:I469)</f>
        <v>0</v>
      </c>
      <c r="J470" s="53">
        <f>SUM(J468:J469)</f>
        <v>270879.34999999998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61987338.57</v>
      </c>
      <c r="G472" s="18">
        <v>1453070.31</v>
      </c>
      <c r="H472" s="18">
        <f>1258379.21+5792.65+73508.41</f>
        <v>1337680.2699999998</v>
      </c>
      <c r="I472" s="18"/>
      <c r="J472" s="18">
        <v>81036.12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61987338.57</v>
      </c>
      <c r="G474" s="53">
        <f>SUM(G472:G473)</f>
        <v>1453070.31</v>
      </c>
      <c r="H474" s="53">
        <f>SUM(H472:H473)</f>
        <v>1337680.2699999998</v>
      </c>
      <c r="I474" s="53">
        <f>SUM(I472:I473)</f>
        <v>0</v>
      </c>
      <c r="J474" s="53">
        <f>SUM(J472:J473)</f>
        <v>81036.12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4315554.7599999979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1189256.81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32000000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275" t="s">
        <v>915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8000000</v>
      </c>
      <c r="G495" s="18"/>
      <c r="H495" s="18"/>
      <c r="I495" s="18"/>
      <c r="J495" s="18"/>
      <c r="K495" s="53">
        <f>SUM(F495:J495)</f>
        <v>8000000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1600000</v>
      </c>
      <c r="G497" s="18"/>
      <c r="H497" s="18"/>
      <c r="I497" s="18"/>
      <c r="J497" s="18"/>
      <c r="K497" s="53">
        <f t="shared" si="35"/>
        <v>1600000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6400000</v>
      </c>
      <c r="G498" s="204"/>
      <c r="H498" s="204"/>
      <c r="I498" s="204"/>
      <c r="J498" s="204"/>
      <c r="K498" s="205">
        <f t="shared" si="35"/>
        <v>6400000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672000</v>
      </c>
      <c r="G499" s="18"/>
      <c r="H499" s="18"/>
      <c r="I499" s="18"/>
      <c r="J499" s="18"/>
      <c r="K499" s="53">
        <f t="shared" si="35"/>
        <v>672000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7072000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7072000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1600000</v>
      </c>
      <c r="G501" s="204"/>
      <c r="H501" s="204"/>
      <c r="I501" s="204"/>
      <c r="J501" s="204"/>
      <c r="K501" s="205">
        <f t="shared" si="35"/>
        <v>1600000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294000</v>
      </c>
      <c r="G502" s="18"/>
      <c r="H502" s="18"/>
      <c r="I502" s="18"/>
      <c r="J502" s="18"/>
      <c r="K502" s="53">
        <f t="shared" si="35"/>
        <v>294000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1894000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1894000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2166153.2742782296</v>
      </c>
      <c r="G521" s="18">
        <v>970397.68468820013</v>
      </c>
      <c r="H521" s="18">
        <v>412476.43789325078</v>
      </c>
      <c r="I521" s="18">
        <v>21786.717263681738</v>
      </c>
      <c r="J521" s="18">
        <v>15725.866494381326</v>
      </c>
      <c r="K521" s="18">
        <v>50</v>
      </c>
      <c r="L521" s="88">
        <f>SUM(F521:K521)</f>
        <v>3586589.9806177439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1776800.4139265104</v>
      </c>
      <c r="G522" s="18">
        <v>727435.68</v>
      </c>
      <c r="H522" s="18">
        <v>556454.57362543279</v>
      </c>
      <c r="I522" s="18">
        <v>21890.552810696423</v>
      </c>
      <c r="J522" s="18">
        <v>10622.641048961139</v>
      </c>
      <c r="K522" s="18">
        <v>0</v>
      </c>
      <c r="L522" s="88">
        <f>SUM(F522:K522)</f>
        <v>3093203.8614116008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2237849.2118613496</v>
      </c>
      <c r="G523" s="18">
        <v>905358.59000000008</v>
      </c>
      <c r="H523" s="18">
        <v>1083635.5951738225</v>
      </c>
      <c r="I523" s="18">
        <v>25507.179863974834</v>
      </c>
      <c r="J523" s="18">
        <v>14952.133435767151</v>
      </c>
      <c r="K523" s="18">
        <v>0</v>
      </c>
      <c r="L523" s="88">
        <f>SUM(F523:K523)</f>
        <v>4267302.7103349138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6180802.9000660898</v>
      </c>
      <c r="G524" s="108">
        <f t="shared" ref="G524:L524" si="36">SUM(G521:G523)</f>
        <v>2603191.9546882003</v>
      </c>
      <c r="H524" s="108">
        <f t="shared" si="36"/>
        <v>2052566.606692506</v>
      </c>
      <c r="I524" s="108">
        <f t="shared" si="36"/>
        <v>69184.449938352991</v>
      </c>
      <c r="J524" s="108">
        <f t="shared" si="36"/>
        <v>41300.640979109616</v>
      </c>
      <c r="K524" s="108">
        <f t="shared" si="36"/>
        <v>50</v>
      </c>
      <c r="L524" s="89">
        <f t="shared" si="36"/>
        <v>10947096.552364258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459290.82137767924</v>
      </c>
      <c r="G526" s="18">
        <v>206908.83471552972</v>
      </c>
      <c r="H526" s="18">
        <v>72615.334436547986</v>
      </c>
      <c r="I526" s="18">
        <v>9217.8766732114163</v>
      </c>
      <c r="J526" s="18">
        <v>1615.5583413869588</v>
      </c>
      <c r="K526" s="18">
        <v>5446.2909478758793</v>
      </c>
      <c r="L526" s="88">
        <f>SUM(F526:K526)</f>
        <v>755094.71649223112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272390.71751058102</v>
      </c>
      <c r="G527" s="18">
        <v>122711.02169728742</v>
      </c>
      <c r="H527" s="18">
        <v>43065.83569449788</v>
      </c>
      <c r="I527" s="18">
        <v>5466.8282579838396</v>
      </c>
      <c r="J527" s="18">
        <v>958.13605521354373</v>
      </c>
      <c r="K527" s="18">
        <v>3230.0212196998841</v>
      </c>
      <c r="L527" s="88">
        <f>SUM(F527:K527)</f>
        <v>447822.56043526356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383409.58111173986</v>
      </c>
      <c r="G528" s="18">
        <v>172724.61358718286</v>
      </c>
      <c r="H528" s="18">
        <v>60618.269868954136</v>
      </c>
      <c r="I528" s="18">
        <v>7694.9550688047439</v>
      </c>
      <c r="J528" s="18">
        <v>1348.6456033994973</v>
      </c>
      <c r="K528" s="18">
        <v>4546.4878324242363</v>
      </c>
      <c r="L528" s="88">
        <f>SUM(F528:K528)</f>
        <v>630342.55307250528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1115091.1200000001</v>
      </c>
      <c r="G529" s="89">
        <f t="shared" ref="G529:L529" si="37">SUM(G526:G528)</f>
        <v>502344.47</v>
      </c>
      <c r="H529" s="89">
        <f t="shared" si="37"/>
        <v>176299.44</v>
      </c>
      <c r="I529" s="89">
        <f t="shared" si="37"/>
        <v>22379.66</v>
      </c>
      <c r="J529" s="89">
        <f t="shared" si="37"/>
        <v>3922.3399999999997</v>
      </c>
      <c r="K529" s="89">
        <f t="shared" si="37"/>
        <v>13222.8</v>
      </c>
      <c r="L529" s="89">
        <f t="shared" si="37"/>
        <v>1833259.83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136932.56</v>
      </c>
      <c r="G531" s="18">
        <v>61687.62</v>
      </c>
      <c r="H531" s="18">
        <v>1629.99</v>
      </c>
      <c r="I531" s="18">
        <v>229.28</v>
      </c>
      <c r="J531" s="18">
        <v>0</v>
      </c>
      <c r="K531" s="18">
        <v>0</v>
      </c>
      <c r="L531" s="88">
        <f>SUM(F531:K531)</f>
        <v>200479.44999999998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81210.33</v>
      </c>
      <c r="G532" s="18">
        <v>36584.959999999999</v>
      </c>
      <c r="H532" s="18">
        <v>966.7</v>
      </c>
      <c r="I532" s="18">
        <v>135.97999999999999</v>
      </c>
      <c r="J532" s="18">
        <v>0</v>
      </c>
      <c r="K532" s="18">
        <v>0</v>
      </c>
      <c r="L532" s="88">
        <f>SUM(F532:K532)</f>
        <v>118897.97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114309.39000000003</v>
      </c>
      <c r="G533" s="18">
        <v>51495.960000000014</v>
      </c>
      <c r="H533" s="18">
        <v>1360.7000000000005</v>
      </c>
      <c r="I533" s="18">
        <v>191.39000000000001</v>
      </c>
      <c r="J533" s="18">
        <v>0</v>
      </c>
      <c r="K533" s="18">
        <v>0</v>
      </c>
      <c r="L533" s="88">
        <f>SUM(F533:K533)</f>
        <v>167357.44000000006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332452.28000000003</v>
      </c>
      <c r="G534" s="89">
        <f t="shared" ref="G534:L534" si="38">SUM(G531:G533)</f>
        <v>149768.54</v>
      </c>
      <c r="H534" s="89">
        <f t="shared" si="38"/>
        <v>3957.3900000000003</v>
      </c>
      <c r="I534" s="89">
        <f t="shared" si="38"/>
        <v>556.65</v>
      </c>
      <c r="J534" s="89">
        <f t="shared" si="38"/>
        <v>0</v>
      </c>
      <c r="K534" s="89">
        <f t="shared" si="38"/>
        <v>0</v>
      </c>
      <c r="L534" s="89">
        <f t="shared" si="38"/>
        <v>486734.86000000004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18494.75</v>
      </c>
      <c r="I536" s="18"/>
      <c r="J536" s="18"/>
      <c r="K536" s="18"/>
      <c r="L536" s="88">
        <f>SUM(F536:K536)</f>
        <v>18494.75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10968.64</v>
      </c>
      <c r="I537" s="18"/>
      <c r="J537" s="18"/>
      <c r="K537" s="18"/>
      <c r="L537" s="88">
        <f>SUM(F537:K537)</f>
        <v>10968.64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15439.16</v>
      </c>
      <c r="I538" s="18"/>
      <c r="J538" s="18"/>
      <c r="K538" s="18"/>
      <c r="L538" s="88">
        <f>SUM(F538:K538)</f>
        <v>15439.16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44902.55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44902.55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298357.5</v>
      </c>
      <c r="I541" s="18"/>
      <c r="J541" s="18"/>
      <c r="K541" s="18"/>
      <c r="L541" s="88">
        <f>SUM(F541:K541)</f>
        <v>298357.5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176946.3</v>
      </c>
      <c r="I542" s="18"/>
      <c r="J542" s="18"/>
      <c r="K542" s="18"/>
      <c r="L542" s="88">
        <f>SUM(F542:K542)</f>
        <v>176946.3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249064.69</v>
      </c>
      <c r="I543" s="18"/>
      <c r="J543" s="18"/>
      <c r="K543" s="18"/>
      <c r="L543" s="88">
        <f>SUM(F543:K543)</f>
        <v>249064.69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724368.49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724368.49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7628346.3000660902</v>
      </c>
      <c r="G545" s="89">
        <f t="shared" ref="G545:L545" si="41">G524+G529+G534+G539+G544</f>
        <v>3255304.9646882005</v>
      </c>
      <c r="H545" s="89">
        <f t="shared" si="41"/>
        <v>3002094.4766925061</v>
      </c>
      <c r="I545" s="89">
        <f t="shared" si="41"/>
        <v>92120.759938352989</v>
      </c>
      <c r="J545" s="89">
        <f t="shared" si="41"/>
        <v>45222.980979109612</v>
      </c>
      <c r="K545" s="89">
        <f t="shared" si="41"/>
        <v>13272.8</v>
      </c>
      <c r="L545" s="89">
        <f t="shared" si="41"/>
        <v>14036362.282364259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3586589.9806177439</v>
      </c>
      <c r="G549" s="87">
        <f>L526</f>
        <v>755094.71649223112</v>
      </c>
      <c r="H549" s="87">
        <f>L531</f>
        <v>200479.44999999998</v>
      </c>
      <c r="I549" s="87">
        <f>L536</f>
        <v>18494.75</v>
      </c>
      <c r="J549" s="87">
        <f>L541</f>
        <v>298357.5</v>
      </c>
      <c r="K549" s="87">
        <f>SUM(F549:J549)</f>
        <v>4859016.3971099751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3093203.8614116008</v>
      </c>
      <c r="G550" s="87">
        <f>L527</f>
        <v>447822.56043526356</v>
      </c>
      <c r="H550" s="87">
        <f>L532</f>
        <v>118897.97</v>
      </c>
      <c r="I550" s="87">
        <f>L537</f>
        <v>10968.64</v>
      </c>
      <c r="J550" s="87">
        <f>L542</f>
        <v>176946.3</v>
      </c>
      <c r="K550" s="87">
        <f>SUM(F550:J550)</f>
        <v>3847839.3318468644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4267302.7103349138</v>
      </c>
      <c r="G551" s="87">
        <f>L528</f>
        <v>630342.55307250528</v>
      </c>
      <c r="H551" s="87">
        <f>L533</f>
        <v>167357.44000000006</v>
      </c>
      <c r="I551" s="87">
        <f>L538</f>
        <v>15439.16</v>
      </c>
      <c r="J551" s="87">
        <f>L543</f>
        <v>249064.69</v>
      </c>
      <c r="K551" s="87">
        <f>SUM(F551:J551)</f>
        <v>5329506.5534074204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10947096.552364258</v>
      </c>
      <c r="G552" s="89">
        <f t="shared" si="42"/>
        <v>1833259.83</v>
      </c>
      <c r="H552" s="89">
        <f t="shared" si="42"/>
        <v>486734.86000000004</v>
      </c>
      <c r="I552" s="89">
        <f t="shared" si="42"/>
        <v>44902.55</v>
      </c>
      <c r="J552" s="89">
        <f t="shared" si="42"/>
        <v>724368.49</v>
      </c>
      <c r="K552" s="89">
        <f t="shared" si="42"/>
        <v>14036362.28236426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249307</v>
      </c>
      <c r="G567" s="18"/>
      <c r="H567" s="18"/>
      <c r="I567" s="18">
        <v>1088.29</v>
      </c>
      <c r="J567" s="18"/>
      <c r="K567" s="18"/>
      <c r="L567" s="88">
        <f>SUM(F567:K567)</f>
        <v>250395.29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9880</v>
      </c>
      <c r="G568" s="18"/>
      <c r="H568" s="18"/>
      <c r="I568" s="18">
        <f>1764.12+1441.36</f>
        <v>3205.4799999999996</v>
      </c>
      <c r="J568" s="18"/>
      <c r="K568" s="18"/>
      <c r="L568" s="88">
        <f>SUM(F568:K568)</f>
        <v>13085.48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>
        <v>0</v>
      </c>
      <c r="G569" s="18"/>
      <c r="H569" s="18">
        <f>1735+945</f>
        <v>2680</v>
      </c>
      <c r="I569" s="18"/>
      <c r="J569" s="18"/>
      <c r="K569" s="18"/>
      <c r="L569" s="88">
        <f>SUM(F569:K569)</f>
        <v>2680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259187</v>
      </c>
      <c r="G570" s="193">
        <f t="shared" ref="G570:L570" si="45">SUM(G567:G569)</f>
        <v>0</v>
      </c>
      <c r="H570" s="193">
        <f t="shared" si="45"/>
        <v>2680</v>
      </c>
      <c r="I570" s="193">
        <f t="shared" si="45"/>
        <v>4293.7699999999995</v>
      </c>
      <c r="J570" s="193">
        <f t="shared" si="45"/>
        <v>0</v>
      </c>
      <c r="K570" s="193">
        <f t="shared" si="45"/>
        <v>0</v>
      </c>
      <c r="L570" s="193">
        <f t="shared" si="45"/>
        <v>266160.77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259187</v>
      </c>
      <c r="G571" s="89">
        <f t="shared" ref="G571:L571" si="46">G560+G565+G570</f>
        <v>0</v>
      </c>
      <c r="H571" s="89">
        <f t="shared" si="46"/>
        <v>2680</v>
      </c>
      <c r="I571" s="89">
        <f t="shared" si="46"/>
        <v>4293.7699999999995</v>
      </c>
      <c r="J571" s="89">
        <f t="shared" si="46"/>
        <v>0</v>
      </c>
      <c r="K571" s="89">
        <f t="shared" si="46"/>
        <v>0</v>
      </c>
      <c r="L571" s="89">
        <f t="shared" si="46"/>
        <v>266160.77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231350.28</v>
      </c>
      <c r="G582" s="18">
        <v>424311.03999999998</v>
      </c>
      <c r="H582" s="18">
        <v>898224.28</v>
      </c>
      <c r="I582" s="87">
        <f t="shared" si="47"/>
        <v>1553885.6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100459.06</v>
      </c>
      <c r="I584" s="87">
        <f t="shared" si="47"/>
        <v>100459.06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760282.28</v>
      </c>
      <c r="I591" s="18">
        <v>450899.14</v>
      </c>
      <c r="J591" s="18">
        <v>623844.38</v>
      </c>
      <c r="K591" s="104">
        <f t="shared" ref="K591:K597" si="48">SUM(H591:J591)</f>
        <v>1835025.7999999998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298357.5</v>
      </c>
      <c r="I592" s="18">
        <v>176946.3</v>
      </c>
      <c r="J592" s="18">
        <v>249064.69</v>
      </c>
      <c r="K592" s="104">
        <f t="shared" si="48"/>
        <v>724368.49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62823.38</v>
      </c>
      <c r="K593" s="104">
        <f t="shared" si="48"/>
        <v>62823.38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15726.21</v>
      </c>
      <c r="J594" s="18">
        <v>73420.350000000006</v>
      </c>
      <c r="K594" s="104">
        <f t="shared" si="48"/>
        <v>89146.559999999998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9133.15</v>
      </c>
      <c r="I595" s="18">
        <v>6022.75</v>
      </c>
      <c r="J595" s="18">
        <v>8833.3799999999992</v>
      </c>
      <c r="K595" s="104">
        <f t="shared" si="48"/>
        <v>23989.279999999999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10828.67</v>
      </c>
      <c r="K597" s="104">
        <f t="shared" si="48"/>
        <v>10828.67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1067772.93</v>
      </c>
      <c r="I598" s="108">
        <f>SUM(I591:I597)</f>
        <v>649594.39999999991</v>
      </c>
      <c r="J598" s="108">
        <f>SUM(J591:J597)</f>
        <v>1028814.8500000001</v>
      </c>
      <c r="K598" s="108">
        <f>SUM(K591:K597)</f>
        <v>2746182.1799999997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374395.35</v>
      </c>
      <c r="I604" s="18">
        <v>235347.56</v>
      </c>
      <c r="J604" s="18">
        <v>361694.77</v>
      </c>
      <c r="K604" s="104">
        <f>SUM(H604:J604)</f>
        <v>971437.67999999993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374395.35</v>
      </c>
      <c r="I605" s="108">
        <f>SUM(I602:I604)</f>
        <v>235347.56</v>
      </c>
      <c r="J605" s="108">
        <f>SUM(J602:J604)</f>
        <v>361694.77</v>
      </c>
      <c r="K605" s="108">
        <f>SUM(K602:K604)</f>
        <v>971437.67999999993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25080</v>
      </c>
      <c r="G613" s="18"/>
      <c r="H613" s="18">
        <v>2229.52</v>
      </c>
      <c r="I613" s="18">
        <v>47.65</v>
      </c>
      <c r="J613" s="18"/>
      <c r="K613" s="18"/>
      <c r="L613" s="88">
        <f>SUM(F613:K613)</f>
        <v>27357.170000000002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25080</v>
      </c>
      <c r="G614" s="108">
        <f t="shared" si="49"/>
        <v>0</v>
      </c>
      <c r="H614" s="108">
        <f t="shared" si="49"/>
        <v>2229.52</v>
      </c>
      <c r="I614" s="108">
        <f t="shared" si="49"/>
        <v>47.65</v>
      </c>
      <c r="J614" s="108">
        <f t="shared" si="49"/>
        <v>0</v>
      </c>
      <c r="K614" s="108">
        <f t="shared" si="49"/>
        <v>0</v>
      </c>
      <c r="L614" s="89">
        <f t="shared" si="49"/>
        <v>27357.170000000002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4604712.17</v>
      </c>
      <c r="H617" s="109">
        <f>SUM(F52)</f>
        <v>4604712.17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333571.76000000007</v>
      </c>
      <c r="H618" s="109">
        <f>SUM(G52)</f>
        <v>333571.75999999995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334707.11</v>
      </c>
      <c r="H619" s="109">
        <f>SUM(H52)</f>
        <v>334707.11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1189256.81</v>
      </c>
      <c r="H621" s="109">
        <f>SUM(J52)</f>
        <v>1189256.81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4315554.76</v>
      </c>
      <c r="H622" s="109">
        <f>F476</f>
        <v>4315554.7599999979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1189256.81</v>
      </c>
      <c r="H626" s="109">
        <f>J476</f>
        <v>1189256.81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61888998.009999998</v>
      </c>
      <c r="H627" s="104">
        <f>SUM(F468)</f>
        <v>61888998.009999998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1453070.31</v>
      </c>
      <c r="H628" s="104">
        <f>SUM(G468)</f>
        <v>1453070.31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1306395.8999999999</v>
      </c>
      <c r="H629" s="104">
        <f>SUM(H468)</f>
        <v>1306395.8999999999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270879.34999999998</v>
      </c>
      <c r="H631" s="104">
        <f>SUM(J468)</f>
        <v>270879.34999999998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61987338.568780303</v>
      </c>
      <c r="H632" s="104">
        <f>SUM(F472)</f>
        <v>61987338.57</v>
      </c>
      <c r="I632" s="140" t="s">
        <v>111</v>
      </c>
      <c r="J632" s="109">
        <f t="shared" si="50"/>
        <v>-1.2196972966194153E-3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1337680.27</v>
      </c>
      <c r="H633" s="104">
        <f>SUM(H472)</f>
        <v>1337680.2699999998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661056.56000000006</v>
      </c>
      <c r="H634" s="104">
        <f>I369</f>
        <v>661056.56000000006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1453070.3100000003</v>
      </c>
      <c r="H635" s="104">
        <f>SUM(G472)</f>
        <v>1453070.31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270879.34999999998</v>
      </c>
      <c r="H637" s="164">
        <f>SUM(J468)</f>
        <v>270879.34999999998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81036.12</v>
      </c>
      <c r="H638" s="164">
        <f>SUM(J472)</f>
        <v>81036.12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1158638.71</v>
      </c>
      <c r="H639" s="104">
        <f>SUM(F461)</f>
        <v>1158638.71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30618.1</v>
      </c>
      <c r="H640" s="104">
        <f>SUM(G461)</f>
        <v>30618.1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1189256.81</v>
      </c>
      <c r="H642" s="104">
        <f>SUM(I461)</f>
        <v>1189256.81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3522.35</v>
      </c>
      <c r="H644" s="104">
        <f>H408</f>
        <v>3522.35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250000</v>
      </c>
      <c r="H645" s="104">
        <f>G408</f>
        <v>250000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270879.34999999998</v>
      </c>
      <c r="H646" s="104">
        <f>L408</f>
        <v>270879.34999999998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2746182.1799999997</v>
      </c>
      <c r="H647" s="104">
        <f>L208+L226+L244</f>
        <v>2746182.1787803001</v>
      </c>
      <c r="I647" s="140" t="s">
        <v>397</v>
      </c>
      <c r="J647" s="109">
        <f t="shared" si="50"/>
        <v>1.2196996249258518E-3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971437.67999999993</v>
      </c>
      <c r="H648" s="104">
        <f>(J257+J338)-(J255+J336)</f>
        <v>971437.68000000052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1067772.9268302289</v>
      </c>
      <c r="H649" s="104">
        <f>H598</f>
        <v>1067772.93</v>
      </c>
      <c r="I649" s="140" t="s">
        <v>389</v>
      </c>
      <c r="J649" s="109">
        <f t="shared" si="50"/>
        <v>-3.1697710510343313E-3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649594.4</v>
      </c>
      <c r="H650" s="104">
        <f>I598</f>
        <v>649594.39999999991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1028814.8519500713</v>
      </c>
      <c r="H651" s="104">
        <f>J598</f>
        <v>1028814.8500000001</v>
      </c>
      <c r="I651" s="140" t="s">
        <v>391</v>
      </c>
      <c r="J651" s="109">
        <f t="shared" si="50"/>
        <v>1.9500711932778358E-3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30546.59</v>
      </c>
      <c r="H652" s="104">
        <f>K263+K345</f>
        <v>30546.59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9839.68</v>
      </c>
      <c r="H653" s="104">
        <f>K264</f>
        <v>9839.68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250000</v>
      </c>
      <c r="H655" s="104">
        <f>K266+K347</f>
        <v>250000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-1.2196600437164307E-3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25186848.587221697</v>
      </c>
      <c r="G660" s="19">
        <f>(L229+L309+L359)</f>
        <v>15072824.113036264</v>
      </c>
      <c r="H660" s="19">
        <f>(L247+L328+L360)</f>
        <v>21294222.96852234</v>
      </c>
      <c r="I660" s="19">
        <f>SUM(F660:H660)</f>
        <v>61553895.668780297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413908.90429074824</v>
      </c>
      <c r="G661" s="19">
        <f>(L359/IF(SUM(L358:L360)=0,1,SUM(L358:L360))*(SUM(G97:G110)))</f>
        <v>232390.1665082156</v>
      </c>
      <c r="H661" s="19">
        <f>(L360/IF(SUM(L358:L360)=0,1,SUM(L358:L360))*(SUM(G97:G110)))</f>
        <v>336485.38920103613</v>
      </c>
      <c r="I661" s="19">
        <f>SUM(F661:H661)</f>
        <v>982784.46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1069692.9268302289</v>
      </c>
      <c r="G662" s="19">
        <f>(L226+L306)-(J226+J306)</f>
        <v>649594.4</v>
      </c>
      <c r="H662" s="19">
        <f>(L244+L325)-(J244+J325)</f>
        <v>1028814.8519500713</v>
      </c>
      <c r="I662" s="19">
        <f>SUM(F662:H662)</f>
        <v>2748102.1787803001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605745.63</v>
      </c>
      <c r="G663" s="199">
        <f>SUM(G575:G587)+SUM(I602:I604)+L612</f>
        <v>659658.6</v>
      </c>
      <c r="H663" s="199">
        <f>SUM(H575:H587)+SUM(J602:J604)+L613</f>
        <v>1387735.28</v>
      </c>
      <c r="I663" s="19">
        <f>SUM(F663:H663)</f>
        <v>2653139.5099999998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23097501.126100719</v>
      </c>
      <c r="G664" s="19">
        <f>G660-SUM(G661:G663)</f>
        <v>13531180.946528047</v>
      </c>
      <c r="H664" s="19">
        <f>H660-SUM(H661:H663)</f>
        <v>18541187.447371233</v>
      </c>
      <c r="I664" s="19">
        <f>I660-SUM(I661:I663)</f>
        <v>55169869.519999996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1455.87</v>
      </c>
      <c r="G665" s="248">
        <v>863.43</v>
      </c>
      <c r="H665" s="248">
        <v>1215.3399999999999</v>
      </c>
      <c r="I665" s="19">
        <f>SUM(F665:H665)</f>
        <v>3534.6399999999994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15865.08</v>
      </c>
      <c r="G667" s="19">
        <f>ROUND(G664/G665,2)</f>
        <v>15671.43</v>
      </c>
      <c r="H667" s="19">
        <f>ROUND(H664/H665,2)</f>
        <v>15255.97</v>
      </c>
      <c r="I667" s="19">
        <f>ROUND(I664/I665,2)</f>
        <v>15608.34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-19.489999999999998</v>
      </c>
      <c r="I670" s="19">
        <f>SUM(F670:H670)</f>
        <v>-19.489999999999998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15865.08</v>
      </c>
      <c r="G672" s="19">
        <f>ROUND((G664+G669)/(G665+G670),2)</f>
        <v>15671.43</v>
      </c>
      <c r="H672" s="19">
        <f>ROUND((H664+H669)/(H665+H670),2)</f>
        <v>15504.61</v>
      </c>
      <c r="I672" s="19">
        <f>ROUND((I664+I669)/(I665+I670),2)</f>
        <v>15694.88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76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5" sqref="C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Timberlane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17326128.07</v>
      </c>
      <c r="C9" s="229">
        <f>'DOE25'!G197+'DOE25'!G215+'DOE25'!G233+'DOE25'!G276+'DOE25'!G295+'DOE25'!G314</f>
        <v>7733225.6799999997</v>
      </c>
    </row>
    <row r="10" spans="1:3" x14ac:dyDescent="0.2">
      <c r="A10" t="s">
        <v>779</v>
      </c>
      <c r="B10" s="240">
        <f>15482250.82+317361.01+199584.54</f>
        <v>15999196.369999999</v>
      </c>
      <c r="C10" s="240">
        <f>(C9/B9)*B10</f>
        <v>7140972.0468403976</v>
      </c>
    </row>
    <row r="11" spans="1:3" x14ac:dyDescent="0.2">
      <c r="A11" t="s">
        <v>780</v>
      </c>
      <c r="B11" s="240">
        <v>1299276.82</v>
      </c>
      <c r="C11" s="240">
        <f>(C9/B9)*B11</f>
        <v>579910.34287978325</v>
      </c>
    </row>
    <row r="12" spans="1:3" x14ac:dyDescent="0.2">
      <c r="A12" t="s">
        <v>781</v>
      </c>
      <c r="B12" s="240">
        <v>27654.880000000001</v>
      </c>
      <c r="C12" s="240">
        <f>(C9/B9)*B12</f>
        <v>12343.290279818322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17326128.069999997</v>
      </c>
      <c r="C13" s="231">
        <f>SUM(C10:C12)</f>
        <v>7733225.6799999997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6772132.9400000013</v>
      </c>
      <c r="C18" s="229">
        <f>'DOE25'!G198+'DOE25'!G216+'DOE25'!G234+'DOE25'!G277+'DOE25'!G296+'DOE25'!G315</f>
        <v>2751930.8899999997</v>
      </c>
    </row>
    <row r="19" spans="1:3" x14ac:dyDescent="0.2">
      <c r="A19" t="s">
        <v>779</v>
      </c>
      <c r="B19" s="240">
        <f>89862.38+3999419.38</f>
        <v>4089281.76</v>
      </c>
      <c r="C19" s="240">
        <f>(C18/B18)*B19</f>
        <v>1661724.7317737332</v>
      </c>
    </row>
    <row r="20" spans="1:3" x14ac:dyDescent="0.2">
      <c r="A20" t="s">
        <v>780</v>
      </c>
      <c r="B20" s="240">
        <f>2216348.41+45219.66</f>
        <v>2261568.0700000003</v>
      </c>
      <c r="C20" s="240">
        <f>(C18/B18)*B20</f>
        <v>919013.12139195565</v>
      </c>
    </row>
    <row r="21" spans="1:3" x14ac:dyDescent="0.2">
      <c r="A21" t="s">
        <v>781</v>
      </c>
      <c r="B21" s="240">
        <f>346166+75117.11</f>
        <v>421283.11</v>
      </c>
      <c r="C21" s="240">
        <f>(C18/B18)*B21</f>
        <v>171193.03683431051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6772132.9400000004</v>
      </c>
      <c r="C22" s="231">
        <f>SUM(C19:C21)</f>
        <v>2751930.8899999997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491809.62</v>
      </c>
      <c r="C36" s="235">
        <f>'DOE25'!G200+'DOE25'!G218+'DOE25'!G236+'DOE25'!G279+'DOE25'!G298+'DOE25'!G317</f>
        <v>221558.44</v>
      </c>
    </row>
    <row r="37" spans="1:3" x14ac:dyDescent="0.2">
      <c r="A37" t="s">
        <v>779</v>
      </c>
      <c r="B37" s="240">
        <v>352476.88</v>
      </c>
      <c r="C37" s="240">
        <f>(C36/B36)*B37</f>
        <v>158789.54882758739</v>
      </c>
    </row>
    <row r="38" spans="1:3" x14ac:dyDescent="0.2">
      <c r="A38" t="s">
        <v>780</v>
      </c>
      <c r="B38" s="240">
        <v>0</v>
      </c>
      <c r="C38" s="240">
        <f>(C36/B36)*B38</f>
        <v>0</v>
      </c>
    </row>
    <row r="39" spans="1:3" x14ac:dyDescent="0.2">
      <c r="A39" t="s">
        <v>781</v>
      </c>
      <c r="B39" s="240">
        <f>38332.74+101000</f>
        <v>139332.74</v>
      </c>
      <c r="C39" s="240">
        <f>(C36/B36)*B39</f>
        <v>62768.891172412601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491809.62</v>
      </c>
      <c r="C40" s="231">
        <f>SUM(C37:C39)</f>
        <v>221558.44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35" sqref="D3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Timberlane Regional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38656859.18</v>
      </c>
      <c r="D5" s="20">
        <f>SUM('DOE25'!L197:L200)+SUM('DOE25'!L215:L218)+SUM('DOE25'!L233:L236)-F5-G5</f>
        <v>37816495</v>
      </c>
      <c r="E5" s="243"/>
      <c r="F5" s="255">
        <f>SUM('DOE25'!J197:J200)+SUM('DOE25'!J215:J218)+SUM('DOE25'!J233:J236)</f>
        <v>750961.6400000006</v>
      </c>
      <c r="G5" s="53">
        <f>SUM('DOE25'!K197:K200)+SUM('DOE25'!K215:K218)+SUM('DOE25'!K233:K236)</f>
        <v>89402.54</v>
      </c>
      <c r="H5" s="259"/>
    </row>
    <row r="6" spans="1:9" x14ac:dyDescent="0.2">
      <c r="A6" s="32">
        <v>2100</v>
      </c>
      <c r="B6" t="s">
        <v>801</v>
      </c>
      <c r="C6" s="245">
        <f t="shared" si="0"/>
        <v>4645749.3900000006</v>
      </c>
      <c r="D6" s="20">
        <f>'DOE25'!L202+'DOE25'!L220+'DOE25'!L238-F6-G6</f>
        <v>4626259.0700000012</v>
      </c>
      <c r="E6" s="243"/>
      <c r="F6" s="255">
        <f>'DOE25'!J202+'DOE25'!J220+'DOE25'!J238</f>
        <v>6267.5199999999977</v>
      </c>
      <c r="G6" s="53">
        <f>'DOE25'!K202+'DOE25'!K220+'DOE25'!K238</f>
        <v>13222.8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1546659.6099999999</v>
      </c>
      <c r="D7" s="20">
        <f>'DOE25'!L203+'DOE25'!L221+'DOE25'!L239-F7-G7</f>
        <v>1536920.9999999998</v>
      </c>
      <c r="E7" s="243"/>
      <c r="F7" s="255">
        <f>'DOE25'!J203+'DOE25'!J221+'DOE25'!J239</f>
        <v>9738.61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1737992.5399999998</v>
      </c>
      <c r="D8" s="243"/>
      <c r="E8" s="20">
        <f>'DOE25'!L204+'DOE25'!L222+'DOE25'!L240-F8-G8-D9-D11</f>
        <v>1696405.5899999999</v>
      </c>
      <c r="F8" s="255">
        <f>'DOE25'!J204+'DOE25'!J222+'DOE25'!J240</f>
        <v>0</v>
      </c>
      <c r="G8" s="53">
        <f>'DOE25'!K204+'DOE25'!K222+'DOE25'!K240</f>
        <v>41586.949999999997</v>
      </c>
      <c r="H8" s="259"/>
    </row>
    <row r="9" spans="1:9" x14ac:dyDescent="0.2">
      <c r="A9" s="32">
        <v>2310</v>
      </c>
      <c r="B9" t="s">
        <v>818</v>
      </c>
      <c r="C9" s="245">
        <f t="shared" si="0"/>
        <v>177641.67</v>
      </c>
      <c r="D9" s="244">
        <f>9200+1880+3400+527.2+1889.5+5115+5233.51+100027.96+3340+4181.55+1260+14802.44+26784.51</f>
        <v>177641.67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23586</v>
      </c>
      <c r="D10" s="243"/>
      <c r="E10" s="244">
        <v>23586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374053.38</v>
      </c>
      <c r="D11" s="244">
        <v>374053.38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4098107.14</v>
      </c>
      <c r="D12" s="20">
        <f>'DOE25'!L205+'DOE25'!L223+'DOE25'!L241-F12-G12</f>
        <v>4013162.18</v>
      </c>
      <c r="E12" s="243"/>
      <c r="F12" s="255">
        <f>'DOE25'!J205+'DOE25'!J223+'DOE25'!J241</f>
        <v>63439.860000000015</v>
      </c>
      <c r="G12" s="53">
        <f>'DOE25'!K205+'DOE25'!K223+'DOE25'!K241</f>
        <v>21505.1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61332.25</v>
      </c>
      <c r="D13" s="243"/>
      <c r="E13" s="20">
        <f>'DOE25'!L206+'DOE25'!L224+'DOE25'!L242-F13-G13</f>
        <v>61332.25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4278059.26</v>
      </c>
      <c r="D14" s="20">
        <f>'DOE25'!L207+'DOE25'!L225+'DOE25'!L243-F14-G14</f>
        <v>4182704.9299999997</v>
      </c>
      <c r="E14" s="243"/>
      <c r="F14" s="255">
        <f>'DOE25'!J207+'DOE25'!J225+'DOE25'!J243</f>
        <v>95354.330000000016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2746182.1787803001</v>
      </c>
      <c r="D15" s="20">
        <f>'DOE25'!L208+'DOE25'!L226+'DOE25'!L244-F15-G15</f>
        <v>2746182.1787803001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514016.9</v>
      </c>
      <c r="D16" s="243"/>
      <c r="E16" s="20">
        <f>'DOE25'!L209+'DOE25'!L227+'DOE25'!L245-F16-G16</f>
        <v>498812.51</v>
      </c>
      <c r="F16" s="255">
        <f>'DOE25'!J209+'DOE25'!J227+'DOE25'!J245</f>
        <v>15204.39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206591.96000000002</v>
      </c>
      <c r="D17" s="20">
        <f>'DOE25'!L251-F17-G17</f>
        <v>206591.96000000002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675706.84000000008</v>
      </c>
      <c r="D22" s="243"/>
      <c r="E22" s="243"/>
      <c r="F22" s="255">
        <f>'DOE25'!L255+'DOE25'!L336</f>
        <v>675706.84000000008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1978000</v>
      </c>
      <c r="D25" s="243"/>
      <c r="E25" s="243"/>
      <c r="F25" s="258"/>
      <c r="G25" s="256"/>
      <c r="H25" s="257">
        <f>'DOE25'!L260+'DOE25'!L261+'DOE25'!L341+'DOE25'!L342</f>
        <v>1978000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939621.25000000023</v>
      </c>
      <c r="D29" s="20">
        <f>'DOE25'!L358+'DOE25'!L359+'DOE25'!L360-'DOE25'!I367-F29-G29</f>
        <v>904621.25000000023</v>
      </c>
      <c r="E29" s="243"/>
      <c r="F29" s="255">
        <f>'DOE25'!J358+'DOE25'!J359+'DOE25'!J360</f>
        <v>0</v>
      </c>
      <c r="G29" s="53">
        <f>'DOE25'!K358+'DOE25'!K359+'DOE25'!K360</f>
        <v>35000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1337680.27</v>
      </c>
      <c r="D31" s="20">
        <f>'DOE25'!L290+'DOE25'!L309+'DOE25'!L328+'DOE25'!L333+'DOE25'!L334+'DOE25'!L335-F31-G31</f>
        <v>1307158.94</v>
      </c>
      <c r="E31" s="243"/>
      <c r="F31" s="255">
        <f>'DOE25'!J290+'DOE25'!J309+'DOE25'!J328+'DOE25'!J333+'DOE25'!J334+'DOE25'!J335</f>
        <v>30471.329999999998</v>
      </c>
      <c r="G31" s="53">
        <f>'DOE25'!K290+'DOE25'!K309+'DOE25'!K328+'DOE25'!K333+'DOE25'!K334+'DOE25'!K335</f>
        <v>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57891791.558780305</v>
      </c>
      <c r="E33" s="246">
        <f>SUM(E5:E31)</f>
        <v>2280136.3499999996</v>
      </c>
      <c r="F33" s="246">
        <f>SUM(F5:F31)</f>
        <v>1647144.5200000009</v>
      </c>
      <c r="G33" s="246">
        <f>SUM(G5:G31)</f>
        <v>200767.38999999998</v>
      </c>
      <c r="H33" s="246">
        <f>SUM(H5:H31)</f>
        <v>1978000</v>
      </c>
    </row>
    <row r="35" spans="2:8" ht="12" thickBot="1" x14ac:dyDescent="0.25">
      <c r="B35" s="253" t="s">
        <v>847</v>
      </c>
      <c r="D35" s="254">
        <f>E33</f>
        <v>2280136.3499999996</v>
      </c>
      <c r="E35" s="249"/>
    </row>
    <row r="36" spans="2:8" ht="12" thickTop="1" x14ac:dyDescent="0.2">
      <c r="B36" t="s">
        <v>815</v>
      </c>
      <c r="D36" s="20">
        <f>D33</f>
        <v>57891791.558780305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B28" sqref="B2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Timberlane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2308611.29</v>
      </c>
      <c r="D8" s="95">
        <f>'DOE25'!G9</f>
        <v>295360.59000000003</v>
      </c>
      <c r="E8" s="95">
        <f>'DOE25'!H9</f>
        <v>10133.85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537811.89</v>
      </c>
      <c r="D11" s="95">
        <f>'DOE25'!G12</f>
        <v>0</v>
      </c>
      <c r="E11" s="95">
        <f>'DOE25'!H12</f>
        <v>3218.52</v>
      </c>
      <c r="F11" s="95">
        <f>'DOE25'!I12</f>
        <v>0</v>
      </c>
      <c r="G11" s="95">
        <f>'DOE25'!J12</f>
        <v>30618.1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1627584.36</v>
      </c>
      <c r="D12" s="95">
        <f>'DOE25'!G13</f>
        <v>12398.9</v>
      </c>
      <c r="E12" s="95">
        <f>'DOE25'!H13</f>
        <v>321354.74</v>
      </c>
      <c r="F12" s="95">
        <f>'DOE25'!I13</f>
        <v>0</v>
      </c>
      <c r="G12" s="95">
        <f>'DOE25'!J13</f>
        <v>1158638.71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88592.85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25812.27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42111.78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4604712.17</v>
      </c>
      <c r="D18" s="41">
        <f>SUM(D8:D17)</f>
        <v>333571.76000000007</v>
      </c>
      <c r="E18" s="41">
        <f>SUM(E8:E17)</f>
        <v>334707.11</v>
      </c>
      <c r="F18" s="41">
        <f>SUM(F8:F17)</f>
        <v>0</v>
      </c>
      <c r="G18" s="41">
        <f>SUM(G8:G17)</f>
        <v>1189256.81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43346.3</v>
      </c>
      <c r="D21" s="95">
        <f>'DOE25'!G22</f>
        <v>201491.96</v>
      </c>
      <c r="E21" s="95">
        <f>'DOE25'!H22</f>
        <v>326480.25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32039.93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58178.81</v>
      </c>
      <c r="D23" s="95">
        <f>'DOE25'!G24</f>
        <v>96200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2478.7600000000002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152663.60999999999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450</v>
      </c>
      <c r="D29" s="95">
        <f>'DOE25'!G30</f>
        <v>35879.800000000003</v>
      </c>
      <c r="E29" s="95">
        <f>'DOE25'!H30</f>
        <v>8226.86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289157.41000000003</v>
      </c>
      <c r="D31" s="41">
        <f>SUM(D21:D30)</f>
        <v>333571.75999999995</v>
      </c>
      <c r="E31" s="41">
        <f>SUM(E21:E30)</f>
        <v>334707.11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25812.27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42111.78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-25812.27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1189256.81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224398.32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3599044.66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4315554.76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1189256.81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4604712.17</v>
      </c>
      <c r="D51" s="41">
        <f>D50+D31</f>
        <v>333571.75999999995</v>
      </c>
      <c r="E51" s="41">
        <f>E50+E31</f>
        <v>334707.11</v>
      </c>
      <c r="F51" s="41">
        <f>F50+F31</f>
        <v>0</v>
      </c>
      <c r="G51" s="41">
        <f>G50+G31</f>
        <v>1189256.81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40544816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462046.25999999995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3522.35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982784.46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823728.97</v>
      </c>
      <c r="D61" s="95">
        <f>SUM('DOE25'!G98:G110)</f>
        <v>0</v>
      </c>
      <c r="E61" s="95">
        <f>SUM('DOE25'!H98:H110)</f>
        <v>41975.770000000004</v>
      </c>
      <c r="F61" s="95">
        <f>SUM('DOE25'!I98:I110)</f>
        <v>0</v>
      </c>
      <c r="G61" s="95">
        <f>SUM('DOE25'!J98:J110)</f>
        <v>17357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1285775.23</v>
      </c>
      <c r="D62" s="130">
        <f>SUM(D57:D61)</f>
        <v>982784.46</v>
      </c>
      <c r="E62" s="130">
        <f>SUM(E57:E61)</f>
        <v>41975.770000000004</v>
      </c>
      <c r="F62" s="130">
        <f>SUM(F57:F61)</f>
        <v>0</v>
      </c>
      <c r="G62" s="130">
        <f>SUM(G57:G61)</f>
        <v>20879.349999999999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41830591.229999997</v>
      </c>
      <c r="D63" s="22">
        <f>D56+D62</f>
        <v>982784.46</v>
      </c>
      <c r="E63" s="22">
        <f>E56+E62</f>
        <v>41975.770000000004</v>
      </c>
      <c r="F63" s="22">
        <f>F56+F62</f>
        <v>0</v>
      </c>
      <c r="G63" s="22">
        <f>G56+G62</f>
        <v>20879.349999999999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11325097.689999999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6275708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5156.62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17605962.309999999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1103810.6599999999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629177.65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37740.6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18827.080000000002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1770728.9100000001</v>
      </c>
      <c r="D78" s="130">
        <f>SUM(D72:D77)</f>
        <v>18827.080000000002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19376691.219999999</v>
      </c>
      <c r="D81" s="130">
        <f>SUM(D79:D80)+D78+D70</f>
        <v>18827.080000000002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3671.99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678043.57</v>
      </c>
      <c r="D88" s="95">
        <f>SUM('DOE25'!G153:G161)</f>
        <v>420912.18</v>
      </c>
      <c r="E88" s="95">
        <f>SUM('DOE25'!H153:H161)</f>
        <v>1254580.45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681715.55999999994</v>
      </c>
      <c r="D91" s="131">
        <f>SUM(D85:D90)</f>
        <v>420912.18</v>
      </c>
      <c r="E91" s="131">
        <f>SUM(E85:E90)</f>
        <v>1254580.45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30546.59</v>
      </c>
      <c r="E96" s="95">
        <f>'DOE25'!H179</f>
        <v>9839.68</v>
      </c>
      <c r="F96" s="95">
        <f>'DOE25'!I179</f>
        <v>0</v>
      </c>
      <c r="G96" s="95">
        <f>'DOE25'!J179</f>
        <v>250000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30546.59</v>
      </c>
      <c r="E103" s="86">
        <f>SUM(E93:E102)</f>
        <v>9839.68</v>
      </c>
      <c r="F103" s="86">
        <f>SUM(F93:F102)</f>
        <v>0</v>
      </c>
      <c r="G103" s="86">
        <f>SUM(G93:G102)</f>
        <v>250000</v>
      </c>
    </row>
    <row r="104" spans="1:7" ht="12.75" thickTop="1" thickBot="1" x14ac:dyDescent="0.25">
      <c r="A104" s="33" t="s">
        <v>765</v>
      </c>
      <c r="C104" s="86">
        <f>C63+C81+C91+C103</f>
        <v>61888998.009999998</v>
      </c>
      <c r="D104" s="86">
        <f>D63+D81+D91+D103</f>
        <v>1453070.31</v>
      </c>
      <c r="E104" s="86">
        <f>E63+E81+E91+E103</f>
        <v>1306395.8999999999</v>
      </c>
      <c r="F104" s="86">
        <f>F63+F81+F91+F103</f>
        <v>0</v>
      </c>
      <c r="G104" s="86">
        <f>G63+G81+G103</f>
        <v>270879.34999999998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26667499.300000001</v>
      </c>
      <c r="D109" s="24" t="s">
        <v>289</v>
      </c>
      <c r="E109" s="95">
        <f>('DOE25'!L276)+('DOE25'!L295)+('DOE25'!L314)</f>
        <v>284348.46000000002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10880772.65</v>
      </c>
      <c r="D110" s="24" t="s">
        <v>289</v>
      </c>
      <c r="E110" s="95">
        <f>('DOE25'!L277)+('DOE25'!L296)+('DOE25'!L315)</f>
        <v>857452.04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100459.06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1008128.1700000002</v>
      </c>
      <c r="D112" s="24" t="s">
        <v>289</v>
      </c>
      <c r="E112" s="95">
        <f>+('DOE25'!L279)+('DOE25'!L298)+('DOE25'!L317)</f>
        <v>1431.31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206591.96000000002</v>
      </c>
      <c r="D114" s="24" t="s">
        <v>289</v>
      </c>
      <c r="E114" s="95">
        <f>+ SUM('DOE25'!L333:L335)</f>
        <v>73508.41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38863451.140000008</v>
      </c>
      <c r="D115" s="86">
        <f>SUM(D109:D114)</f>
        <v>0</v>
      </c>
      <c r="E115" s="86">
        <f>SUM(E109:E114)</f>
        <v>1216740.22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4645749.3900000006</v>
      </c>
      <c r="D118" s="24" t="s">
        <v>289</v>
      </c>
      <c r="E118" s="95">
        <f>+('DOE25'!L281)+('DOE25'!L300)+('DOE25'!L319)</f>
        <v>1000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1546659.6099999999</v>
      </c>
      <c r="D119" s="24" t="s">
        <v>289</v>
      </c>
      <c r="E119" s="95">
        <f>+('DOE25'!L282)+('DOE25'!L301)+('DOE25'!L320)</f>
        <v>118020.05000000002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2289687.59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4098107.14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61332.25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4278059.26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2746182.1787803001</v>
      </c>
      <c r="D124" s="24" t="s">
        <v>289</v>
      </c>
      <c r="E124" s="95">
        <f>+('DOE25'!L287)+('DOE25'!L306)+('DOE25'!L325)</f>
        <v>1920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514016.9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1453070.3100000003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20179794.318780299</v>
      </c>
      <c r="D128" s="86">
        <f>SUM(D118:D127)</f>
        <v>1453070.3100000003</v>
      </c>
      <c r="E128" s="86">
        <f>SUM(E118:E127)</f>
        <v>120940.05000000002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675706.84000000008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1600000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378000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30546.59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9839.68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253522.35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17357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-20879.349999999977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2944093.11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61987338.568780303</v>
      </c>
      <c r="D145" s="86">
        <f>(D115+D128+D144)</f>
        <v>1453070.3100000003</v>
      </c>
      <c r="E145" s="86">
        <f>(E115+E128+E144)</f>
        <v>1337680.27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07/1999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08/2020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32000000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 t="str">
        <f>'DOE25'!F494</f>
        <v>4.25 to 5.25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8000000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8000000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1600000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1600000</v>
      </c>
    </row>
    <row r="159" spans="1:9" x14ac:dyDescent="0.2">
      <c r="A159" s="22" t="s">
        <v>35</v>
      </c>
      <c r="B159" s="137">
        <f>'DOE25'!F498</f>
        <v>6400000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6400000</v>
      </c>
    </row>
    <row r="160" spans="1:9" x14ac:dyDescent="0.2">
      <c r="A160" s="22" t="s">
        <v>36</v>
      </c>
      <c r="B160" s="137">
        <f>'DOE25'!F499</f>
        <v>672000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672000</v>
      </c>
    </row>
    <row r="161" spans="1:7" x14ac:dyDescent="0.2">
      <c r="A161" s="22" t="s">
        <v>37</v>
      </c>
      <c r="B161" s="137">
        <f>'DOE25'!F500</f>
        <v>7072000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7072000</v>
      </c>
    </row>
    <row r="162" spans="1:7" x14ac:dyDescent="0.2">
      <c r="A162" s="22" t="s">
        <v>38</v>
      </c>
      <c r="B162" s="137">
        <f>'DOE25'!F501</f>
        <v>1600000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1600000</v>
      </c>
    </row>
    <row r="163" spans="1:7" x14ac:dyDescent="0.2">
      <c r="A163" s="22" t="s">
        <v>39</v>
      </c>
      <c r="B163" s="137">
        <f>'DOE25'!F502</f>
        <v>294000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294000</v>
      </c>
    </row>
    <row r="164" spans="1:7" x14ac:dyDescent="0.2">
      <c r="A164" s="22" t="s">
        <v>246</v>
      </c>
      <c r="B164" s="137">
        <f>'DOE25'!F503</f>
        <v>1894000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1894000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Timberlane Regional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15865</v>
      </c>
    </row>
    <row r="5" spans="1:4" x14ac:dyDescent="0.2">
      <c r="B5" t="s">
        <v>704</v>
      </c>
      <c r="C5" s="179">
        <f>IF('DOE25'!G665+'DOE25'!G670=0,0,ROUND('DOE25'!G672,0))</f>
        <v>15671</v>
      </c>
    </row>
    <row r="6" spans="1:4" x14ac:dyDescent="0.2">
      <c r="B6" t="s">
        <v>62</v>
      </c>
      <c r="C6" s="179">
        <f>IF('DOE25'!H665+'DOE25'!H670=0,0,ROUND('DOE25'!H672,0))</f>
        <v>15505</v>
      </c>
    </row>
    <row r="7" spans="1:4" x14ac:dyDescent="0.2">
      <c r="B7" t="s">
        <v>705</v>
      </c>
      <c r="C7" s="179">
        <f>IF('DOE25'!I665+'DOE25'!I670=0,0,ROUND('DOE25'!I672,0))</f>
        <v>15695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26951848</v>
      </c>
      <c r="D10" s="182">
        <f>ROUND((C10/$C$28)*100,1)</f>
        <v>44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11738225</v>
      </c>
      <c r="D11" s="182">
        <f>ROUND((C11/$C$28)*100,1)</f>
        <v>19.2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100459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1009559</v>
      </c>
      <c r="D13" s="182">
        <f>ROUND((C13/$C$28)*100,1)</f>
        <v>1.6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4646749</v>
      </c>
      <c r="D15" s="182">
        <f t="shared" ref="D15:D27" si="0">ROUND((C15/$C$28)*100,1)</f>
        <v>7.6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1664680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2803704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4098107</v>
      </c>
      <c r="D18" s="182">
        <f t="shared" si="0"/>
        <v>6.7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61332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4278059</v>
      </c>
      <c r="D20" s="182">
        <f t="shared" si="0"/>
        <v>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2748102</v>
      </c>
      <c r="D21" s="182">
        <f t="shared" si="0"/>
        <v>4.5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280100</v>
      </c>
      <c r="D24" s="182">
        <f t="shared" si="0"/>
        <v>0.5</v>
      </c>
    </row>
    <row r="25" spans="1:4" x14ac:dyDescent="0.2">
      <c r="A25">
        <v>5120</v>
      </c>
      <c r="B25" t="s">
        <v>720</v>
      </c>
      <c r="C25" s="179">
        <f>ROUND('DOE25'!L261+'DOE25'!L342,0)</f>
        <v>378000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470285.54000000004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61229209.539999999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675707</v>
      </c>
    </row>
    <row r="30" spans="1:4" x14ac:dyDescent="0.2">
      <c r="B30" s="187" t="s">
        <v>729</v>
      </c>
      <c r="C30" s="180">
        <f>SUM(C28:C29)</f>
        <v>61904916.539999999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1600000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40544816</v>
      </c>
      <c r="D35" s="182">
        <f t="shared" ref="D35:D40" si="1">ROUND((C35/$C$41)*100,1)</f>
        <v>63.7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1348630.3500000015</v>
      </c>
      <c r="D36" s="182">
        <f t="shared" si="1"/>
        <v>2.1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17600806</v>
      </c>
      <c r="D37" s="182">
        <f t="shared" si="1"/>
        <v>27.7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1794713</v>
      </c>
      <c r="D38" s="182">
        <f t="shared" si="1"/>
        <v>2.8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2357208</v>
      </c>
      <c r="D39" s="182">
        <f t="shared" si="1"/>
        <v>3.7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63646173.350000001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Timberlane Regional School District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848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2016-09-02T19:00:53Z</cp:lastPrinted>
  <dcterms:created xsi:type="dcterms:W3CDTF">1997-12-04T19:04:30Z</dcterms:created>
  <dcterms:modified xsi:type="dcterms:W3CDTF">2016-12-01T18:50:44Z</dcterms:modified>
</cp:coreProperties>
</file>