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0490" windowHeight="775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9" i="12" l="1"/>
  <c r="H498" i="1" l="1"/>
  <c r="I498" i="1"/>
  <c r="G502" i="1"/>
  <c r="G498" i="1"/>
  <c r="F499" i="1"/>
  <c r="F498" i="1"/>
  <c r="F279" i="1"/>
  <c r="H208" i="1"/>
  <c r="F4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22" i="2" s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C118" i="2" s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L225" i="1"/>
  <c r="C20" i="10" s="1"/>
  <c r="L243" i="1"/>
  <c r="D14" i="13" s="1"/>
  <c r="C14" i="13" s="1"/>
  <c r="F15" i="13"/>
  <c r="G15" i="13"/>
  <c r="L208" i="1"/>
  <c r="L226" i="1"/>
  <c r="G662" i="1" s="1"/>
  <c r="L244" i="1"/>
  <c r="F17" i="13"/>
  <c r="G17" i="13"/>
  <c r="L251" i="1"/>
  <c r="C114" i="2" s="1"/>
  <c r="F18" i="13"/>
  <c r="G18" i="13"/>
  <c r="L252" i="1"/>
  <c r="D18" i="13" s="1"/>
  <c r="C18" i="13" s="1"/>
  <c r="F19" i="13"/>
  <c r="D19" i="13" s="1"/>
  <c r="C19" i="13" s="1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C25" i="10" s="1"/>
  <c r="L341" i="1"/>
  <c r="E131" i="2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A31" i="12" s="1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79" i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F162" i="1"/>
  <c r="G147" i="1"/>
  <c r="G162" i="1"/>
  <c r="H147" i="1"/>
  <c r="E85" i="2" s="1"/>
  <c r="H162" i="1"/>
  <c r="I147" i="1"/>
  <c r="F85" i="2" s="1"/>
  <c r="I162" i="1"/>
  <c r="L250" i="1"/>
  <c r="L332" i="1"/>
  <c r="L254" i="1"/>
  <c r="L268" i="1"/>
  <c r="L269" i="1"/>
  <c r="L349" i="1"/>
  <c r="E142" i="2" s="1"/>
  <c r="L350" i="1"/>
  <c r="I665" i="1"/>
  <c r="I670" i="1"/>
  <c r="L229" i="1"/>
  <c r="I669" i="1"/>
  <c r="C42" i="10"/>
  <c r="L374" i="1"/>
  <c r="L375" i="1"/>
  <c r="L376" i="1"/>
  <c r="L377" i="1"/>
  <c r="L378" i="1"/>
  <c r="F130" i="2" s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K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C132" i="2"/>
  <c r="A1" i="2"/>
  <c r="A2" i="2"/>
  <c r="C8" i="2"/>
  <c r="D8" i="2"/>
  <c r="D18" i="2" s="1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C78" i="2" s="1"/>
  <c r="C81" i="2" s="1"/>
  <c r="F72" i="2"/>
  <c r="C73" i="2"/>
  <c r="F73" i="2"/>
  <c r="C74" i="2"/>
  <c r="C75" i="2"/>
  <c r="C76" i="2"/>
  <c r="E76" i="2"/>
  <c r="F76" i="2"/>
  <c r="F78" i="2" s="1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D91" i="2" s="1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C113" i="2"/>
  <c r="E113" i="2"/>
  <c r="D115" i="2"/>
  <c r="F115" i="2"/>
  <c r="G115" i="2"/>
  <c r="E119" i="2"/>
  <c r="E120" i="2"/>
  <c r="E121" i="2"/>
  <c r="C123" i="2"/>
  <c r="E124" i="2"/>
  <c r="E125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G625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H461" i="1" s="1"/>
  <c r="H641" i="1" s="1"/>
  <c r="J641" i="1" s="1"/>
  <c r="I452" i="1"/>
  <c r="F460" i="1"/>
  <c r="F461" i="1" s="1"/>
  <c r="H639" i="1" s="1"/>
  <c r="G460" i="1"/>
  <c r="G461" i="1" s="1"/>
  <c r="H640" i="1" s="1"/>
  <c r="H460" i="1"/>
  <c r="I460" i="1"/>
  <c r="I461" i="1" s="1"/>
  <c r="H642" i="1" s="1"/>
  <c r="J470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G545" i="1" s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I571" i="1" s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G624" i="1"/>
  <c r="H631" i="1"/>
  <c r="H637" i="1"/>
  <c r="H638" i="1"/>
  <c r="G639" i="1"/>
  <c r="G640" i="1"/>
  <c r="G641" i="1"/>
  <c r="G643" i="1"/>
  <c r="H643" i="1"/>
  <c r="G644" i="1"/>
  <c r="G645" i="1"/>
  <c r="G651" i="1"/>
  <c r="G652" i="1"/>
  <c r="H652" i="1"/>
  <c r="G653" i="1"/>
  <c r="H653" i="1"/>
  <c r="G654" i="1"/>
  <c r="H654" i="1"/>
  <c r="H655" i="1"/>
  <c r="J655" i="1" s="1"/>
  <c r="L256" i="1"/>
  <c r="C70" i="2"/>
  <c r="D6" i="13"/>
  <c r="C6" i="13" s="1"/>
  <c r="D50" i="2"/>
  <c r="G157" i="2"/>
  <c r="F18" i="2"/>
  <c r="E31" i="2"/>
  <c r="E13" i="13"/>
  <c r="C13" i="13" s="1"/>
  <c r="E78" i="2"/>
  <c r="K605" i="1"/>
  <c r="G648" i="1" s="1"/>
  <c r="G552" i="1"/>
  <c r="J643" i="1"/>
  <c r="F169" i="1"/>
  <c r="F571" i="1"/>
  <c r="K549" i="1"/>
  <c r="G22" i="2"/>
  <c r="J552" i="1"/>
  <c r="H140" i="1"/>
  <c r="F22" i="13"/>
  <c r="C22" i="13" s="1"/>
  <c r="H571" i="1"/>
  <c r="F552" i="1"/>
  <c r="I545" i="1"/>
  <c r="G36" i="2"/>
  <c r="J476" i="1" l="1"/>
  <c r="H626" i="1" s="1"/>
  <c r="G408" i="1"/>
  <c r="H645" i="1" s="1"/>
  <c r="L401" i="1"/>
  <c r="C139" i="2" s="1"/>
  <c r="L270" i="1"/>
  <c r="J645" i="1"/>
  <c r="E62" i="2"/>
  <c r="E63" i="2" s="1"/>
  <c r="I552" i="1"/>
  <c r="I169" i="1"/>
  <c r="H112" i="1"/>
  <c r="D17" i="13"/>
  <c r="C17" i="13" s="1"/>
  <c r="J651" i="1"/>
  <c r="K571" i="1"/>
  <c r="L565" i="1"/>
  <c r="L560" i="1"/>
  <c r="G192" i="1"/>
  <c r="D31" i="2"/>
  <c r="L393" i="1"/>
  <c r="C138" i="2" s="1"/>
  <c r="L328" i="1"/>
  <c r="L309" i="1"/>
  <c r="C19" i="10"/>
  <c r="H647" i="1"/>
  <c r="L247" i="1"/>
  <c r="C111" i="2"/>
  <c r="E16" i="13"/>
  <c r="C35" i="10"/>
  <c r="L351" i="1"/>
  <c r="G650" i="1"/>
  <c r="L539" i="1"/>
  <c r="J640" i="1"/>
  <c r="G112" i="1"/>
  <c r="C32" i="10"/>
  <c r="E112" i="2"/>
  <c r="E81" i="2"/>
  <c r="C26" i="10"/>
  <c r="L529" i="1"/>
  <c r="H545" i="1"/>
  <c r="J639" i="1"/>
  <c r="H408" i="1"/>
  <c r="H644" i="1" s="1"/>
  <c r="J644" i="1" s="1"/>
  <c r="K338" i="1"/>
  <c r="G338" i="1"/>
  <c r="G352" i="1" s="1"/>
  <c r="E103" i="2"/>
  <c r="G81" i="2"/>
  <c r="H662" i="1"/>
  <c r="K545" i="1"/>
  <c r="J545" i="1"/>
  <c r="L534" i="1"/>
  <c r="L545" i="1" s="1"/>
  <c r="H552" i="1"/>
  <c r="C10" i="10"/>
  <c r="G257" i="1"/>
  <c r="G271" i="1" s="1"/>
  <c r="F257" i="1"/>
  <c r="F271" i="1" s="1"/>
  <c r="I257" i="1"/>
  <c r="I271" i="1" s="1"/>
  <c r="G164" i="2"/>
  <c r="G161" i="2"/>
  <c r="G156" i="2"/>
  <c r="K598" i="1"/>
  <c r="G647" i="1" s="1"/>
  <c r="J647" i="1" s="1"/>
  <c r="L362" i="1"/>
  <c r="G472" i="1" s="1"/>
  <c r="J634" i="1"/>
  <c r="F661" i="1"/>
  <c r="D62" i="2"/>
  <c r="D63" i="2" s="1"/>
  <c r="C16" i="10"/>
  <c r="H338" i="1"/>
  <c r="H352" i="1" s="1"/>
  <c r="C13" i="10"/>
  <c r="H169" i="1"/>
  <c r="H52" i="1"/>
  <c r="H619" i="1" s="1"/>
  <c r="J619" i="1" s="1"/>
  <c r="C131" i="2"/>
  <c r="K257" i="1"/>
  <c r="K271" i="1" s="1"/>
  <c r="C17" i="10"/>
  <c r="C18" i="10"/>
  <c r="D7" i="13"/>
  <c r="C7" i="13" s="1"/>
  <c r="L211" i="1"/>
  <c r="L257" i="1" s="1"/>
  <c r="L271" i="1" s="1"/>
  <c r="C110" i="2"/>
  <c r="C115" i="2" s="1"/>
  <c r="J257" i="1"/>
  <c r="J271" i="1" s="1"/>
  <c r="C11" i="10"/>
  <c r="H257" i="1"/>
  <c r="H271" i="1" s="1"/>
  <c r="C91" i="2"/>
  <c r="F112" i="1"/>
  <c r="C18" i="2"/>
  <c r="J617" i="1"/>
  <c r="C16" i="13"/>
  <c r="L290" i="1"/>
  <c r="K503" i="1"/>
  <c r="L382" i="1"/>
  <c r="E122" i="2"/>
  <c r="E118" i="2"/>
  <c r="E128" i="2" s="1"/>
  <c r="E109" i="2"/>
  <c r="E115" i="2" s="1"/>
  <c r="C62" i="2"/>
  <c r="C63" i="2" s="1"/>
  <c r="C15" i="10"/>
  <c r="C29" i="10"/>
  <c r="D15" i="13"/>
  <c r="C15" i="13" s="1"/>
  <c r="D127" i="2"/>
  <c r="D128" i="2" s="1"/>
  <c r="D145" i="2" s="1"/>
  <c r="C57" i="2"/>
  <c r="F662" i="1"/>
  <c r="I662" i="1" s="1"/>
  <c r="H25" i="13"/>
  <c r="F81" i="2"/>
  <c r="L614" i="1"/>
  <c r="H661" i="1"/>
  <c r="C21" i="10"/>
  <c r="C12" i="10"/>
  <c r="D5" i="13"/>
  <c r="C5" i="13" s="1"/>
  <c r="D29" i="13"/>
  <c r="C29" i="13" s="1"/>
  <c r="K500" i="1"/>
  <c r="I52" i="1"/>
  <c r="H620" i="1" s="1"/>
  <c r="J620" i="1" s="1"/>
  <c r="C121" i="2"/>
  <c r="G661" i="1"/>
  <c r="E8" i="13"/>
  <c r="C8" i="13" s="1"/>
  <c r="D12" i="13"/>
  <c r="C12" i="13" s="1"/>
  <c r="K352" i="1"/>
  <c r="G649" i="1"/>
  <c r="J649" i="1" s="1"/>
  <c r="C124" i="2"/>
  <c r="C120" i="2"/>
  <c r="K55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G169" i="1"/>
  <c r="G140" i="1"/>
  <c r="F140" i="1"/>
  <c r="C36" i="10"/>
  <c r="G63" i="2"/>
  <c r="J618" i="1"/>
  <c r="G42" i="2"/>
  <c r="J51" i="1"/>
  <c r="G16" i="2"/>
  <c r="J19" i="1"/>
  <c r="G621" i="1" s="1"/>
  <c r="G18" i="2"/>
  <c r="F545" i="1"/>
  <c r="H434" i="1"/>
  <c r="D103" i="2"/>
  <c r="D104" i="2" s="1"/>
  <c r="I140" i="1"/>
  <c r="I193" i="1" s="1"/>
  <c r="A22" i="12"/>
  <c r="G50" i="2"/>
  <c r="G51" i="2" s="1"/>
  <c r="J652" i="1"/>
  <c r="J642" i="1"/>
  <c r="G571" i="1"/>
  <c r="I434" i="1"/>
  <c r="G434" i="1"/>
  <c r="I663" i="1"/>
  <c r="C27" i="10"/>
  <c r="G635" i="1"/>
  <c r="H193" i="1" l="1"/>
  <c r="G629" i="1" s="1"/>
  <c r="H468" i="1"/>
  <c r="C104" i="2"/>
  <c r="G636" i="1"/>
  <c r="I472" i="1"/>
  <c r="G104" i="2"/>
  <c r="G630" i="1"/>
  <c r="I468" i="1"/>
  <c r="H664" i="1"/>
  <c r="H660" i="1"/>
  <c r="G632" i="1"/>
  <c r="F472" i="1"/>
  <c r="H635" i="1"/>
  <c r="J635" i="1" s="1"/>
  <c r="G474" i="1"/>
  <c r="I661" i="1"/>
  <c r="G664" i="1"/>
  <c r="G667" i="1" s="1"/>
  <c r="D31" i="13"/>
  <c r="C31" i="13" s="1"/>
  <c r="E145" i="2"/>
  <c r="C39" i="10"/>
  <c r="C128" i="2"/>
  <c r="C145" i="2" s="1"/>
  <c r="F660" i="1"/>
  <c r="F664" i="1" s="1"/>
  <c r="F672" i="1" s="1"/>
  <c r="C4" i="10" s="1"/>
  <c r="H648" i="1"/>
  <c r="J648" i="1" s="1"/>
  <c r="C28" i="10"/>
  <c r="D19" i="10" s="1"/>
  <c r="F193" i="1"/>
  <c r="H667" i="1"/>
  <c r="H672" i="1"/>
  <c r="C6" i="10" s="1"/>
  <c r="L338" i="1"/>
  <c r="L352" i="1" s="1"/>
  <c r="C25" i="13"/>
  <c r="H33" i="13"/>
  <c r="F51" i="2"/>
  <c r="E33" i="13"/>
  <c r="D35" i="13" s="1"/>
  <c r="L408" i="1"/>
  <c r="C51" i="2"/>
  <c r="G631" i="1"/>
  <c r="J631" i="1" s="1"/>
  <c r="D33" i="13"/>
  <c r="D36" i="13" s="1"/>
  <c r="G193" i="1"/>
  <c r="G626" i="1"/>
  <c r="J626" i="1" s="1"/>
  <c r="J52" i="1"/>
  <c r="H621" i="1" s="1"/>
  <c r="J621" i="1" s="1"/>
  <c r="C38" i="10"/>
  <c r="G627" i="1" l="1"/>
  <c r="F468" i="1"/>
  <c r="I470" i="1"/>
  <c r="I476" i="1" s="1"/>
  <c r="H625" i="1" s="1"/>
  <c r="J625" i="1" s="1"/>
  <c r="H630" i="1"/>
  <c r="G633" i="1"/>
  <c r="H472" i="1"/>
  <c r="J630" i="1"/>
  <c r="H629" i="1"/>
  <c r="H470" i="1"/>
  <c r="H636" i="1"/>
  <c r="J636" i="1" s="1"/>
  <c r="I474" i="1"/>
  <c r="J629" i="1"/>
  <c r="F474" i="1"/>
  <c r="H632" i="1"/>
  <c r="J632" i="1" s="1"/>
  <c r="G628" i="1"/>
  <c r="G468" i="1"/>
  <c r="G672" i="1"/>
  <c r="C5" i="10" s="1"/>
  <c r="I660" i="1"/>
  <c r="I664" i="1" s="1"/>
  <c r="I672" i="1" s="1"/>
  <c r="C7" i="10" s="1"/>
  <c r="F667" i="1"/>
  <c r="D27" i="10"/>
  <c r="D11" i="10"/>
  <c r="D22" i="10"/>
  <c r="D23" i="10"/>
  <c r="D10" i="10"/>
  <c r="D17" i="10"/>
  <c r="C30" i="10"/>
  <c r="D24" i="10"/>
  <c r="D20" i="10"/>
  <c r="D25" i="10"/>
  <c r="D13" i="10"/>
  <c r="D21" i="10"/>
  <c r="D18" i="10"/>
  <c r="D12" i="10"/>
  <c r="D26" i="10"/>
  <c r="D16" i="10"/>
  <c r="D15" i="10"/>
  <c r="G637" i="1"/>
  <c r="J637" i="1" s="1"/>
  <c r="H646" i="1"/>
  <c r="J646" i="1" s="1"/>
  <c r="C41" i="10"/>
  <c r="D38" i="10" s="1"/>
  <c r="H633" i="1" l="1"/>
  <c r="J633" i="1" s="1"/>
  <c r="H474" i="1"/>
  <c r="H476" i="1" s="1"/>
  <c r="H624" i="1" s="1"/>
  <c r="J624" i="1" s="1"/>
  <c r="H627" i="1"/>
  <c r="J627" i="1" s="1"/>
  <c r="F470" i="1"/>
  <c r="F476" i="1" s="1"/>
  <c r="H622" i="1" s="1"/>
  <c r="J622" i="1" s="1"/>
  <c r="H628" i="1"/>
  <c r="J628" i="1" s="1"/>
  <c r="G470" i="1"/>
  <c r="G476" i="1" s="1"/>
  <c r="H623" i="1" s="1"/>
  <c r="J623" i="1" s="1"/>
  <c r="I667" i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<sst xmlns="http://schemas.openxmlformats.org/spreadsheetml/2006/main" count="3966" uniqueCount="924">
  <si>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</si>
  <si>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</si>
  <si>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</si>
  <si>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</si>
  <si>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</si>
  <si>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</si>
  <si>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</si>
  <si>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</si>
  <si>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</si>
  <si>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</si>
  <si>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</si>
  <si>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</si>
  <si>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</si>
  <si>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</si>
  <si>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</si>
  <si>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</si>
  <si>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</si>
  <si>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</si>
  <si>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</si>
  <si>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</si>
  <si>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</si>
  <si>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</si>
  <si>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</si>
  <si>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</si>
  <si>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</si>
  <si>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</si>
  <si>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</si>
  <si>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</si>
  <si>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</si>
  <si>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</si>
  <si>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</si>
  <si>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</si>
  <si>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</si>
  <si>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</si>
  <si>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</si>
  <si>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</si>
  <si>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</si>
  <si>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</si>
  <si>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</si>
  <si>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</si>
  <si>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</si>
  <si>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</si>
  <si>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</si>
  <si>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</si>
  <si>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</si>
  <si>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</si>
  <si>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</si>
  <si>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</si>
  <si>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</si>
  <si>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</si>
  <si>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</si>
  <si>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</si>
  <si>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</si>
  <si>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</si>
  <si>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</si>
  <si>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</si>
  <si>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</si>
  <si>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</si>
  <si>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</si>
  <si>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</si>
  <si>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</si>
  <si>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</si>
  <si>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</si>
  <si>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</si>
  <si>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</si>
  <si>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</si>
  <si>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</si>
  <si>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</si>
  <si>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</si>
  <si>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</si>
  <si>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</si>
  <si>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</si>
  <si>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</si>
  <si>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</si>
  <si>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</si>
  <si>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</si>
  <si>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</si>
  <si>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</si>
  <si>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</si>
  <si>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</si>
  <si>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</si>
  <si>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</si>
  <si>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</si>
  <si>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</si>
  <si>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</si>
  <si>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</si>
  <si>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</si>
  <si>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</si>
  <si>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</si>
  <si>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</si>
  <si>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</si>
  <si>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</si>
  <si>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</si>
  <si>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</si>
  <si>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</si>
  <si>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</si>
  <si>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</si>
  <si>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</si>
  <si>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</si>
  <si>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</si>
  <si>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</si>
  <si>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</si>
  <si>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</si>
  <si>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</si>
  <si>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</si>
  <si>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</si>
  <si>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</si>
  <si>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</si>
  <si>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</si>
  <si>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</si>
  <si>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</si>
  <si>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</si>
  <si>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</si>
  <si>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</si>
  <si>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</si>
  <si>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</si>
  <si>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</si>
  <si>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</si>
  <si>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</si>
  <si>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</si>
  <si>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</si>
  <si>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</si>
  <si>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</si>
  <si>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</si>
  <si>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</si>
  <si>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</si>
  <si>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</si>
  <si>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</si>
  <si>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</si>
  <si>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</si>
  <si>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</si>
  <si>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</si>
  <si>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</si>
  <si>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</si>
  <si>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</si>
  <si>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</si>
  <si>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</si>
  <si>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</si>
  <si>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</si>
  <si>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</si>
  <si>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</si>
  <si>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</si>
  <si>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</si>
  <si>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</si>
  <si>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</si>
  <si>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</si>
  <si>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</si>
  <si>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</si>
  <si>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</si>
  <si>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</si>
  <si>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</si>
  <si>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</si>
  <si>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</si>
  <si>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</si>
  <si>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</si>
  <si>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</si>
  <si>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</si>
  <si>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</si>
  <si>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</si>
  <si>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</si>
  <si>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</si>
  <si>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</si>
  <si>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</si>
  <si>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</si>
  <si>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</si>
  <si>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</si>
  <si>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</si>
  <si>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</si>
  <si>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</si>
  <si>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</si>
  <si>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</si>
  <si>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</si>
  <si>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</si>
  <si>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</si>
  <si>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</si>
  <si>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</si>
  <si>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</si>
  <si>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</si>
  <si>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</si>
  <si>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</si>
  <si>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</si>
  <si>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</si>
  <si>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</si>
  <si>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</si>
  <si>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</si>
  <si>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</si>
  <si>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</si>
  <si>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</si>
  <si>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</si>
  <si>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</si>
  <si>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</si>
  <si>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</si>
  <si>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</si>
  <si>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</si>
  <si>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</si>
  <si>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</si>
  <si>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</si>
  <si>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</si>
  <si>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</si>
  <si>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</si>
  <si>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</si>
  <si>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</si>
  <si>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</si>
  <si>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</si>
  <si>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</si>
  <si>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</si>
  <si>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</si>
  <si>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</si>
  <si>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</si>
  <si>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</si>
  <si>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</si>
  <si>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</si>
  <si>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</si>
  <si>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</si>
  <si>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</si>
  <si>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</si>
  <si>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</si>
  <si>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</si>
  <si>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</si>
  <si>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</si>
  <si>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</si>
  <si>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</si>
  <si>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</si>
  <si>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</si>
  <si>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</si>
  <si>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</si>
  <si>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</si>
  <si>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</si>
  <si>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</si>
  <si>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</si>
  <si>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</si>
  <si>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</si>
  <si>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</si>
  <si>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</si>
  <si>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</si>
  <si>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</si>
  <si>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</si>
  <si>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</si>
  <si>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</si>
  <si>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</si>
  <si>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</si>
  <si>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</si>
  <si>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</si>
  <si>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</si>
  <si>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</si>
  <si>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</si>
  <si>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</si>
  <si>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</si>
  <si>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</si>
  <si>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</si>
  <si>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</si>
  <si>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</si>
  <si>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</si>
  <si>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</si>
  <si>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</si>
  <si>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</si>
  <si>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</si>
  <si>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</si>
  <si>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</si>
  <si>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</si>
  <si>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</si>
  <si>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</si>
  <si>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</si>
  <si>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</si>
  <si>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</si>
  <si>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</si>
  <si>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</si>
  <si>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</si>
  <si>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</si>
  <si>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</si>
  <si>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</si>
  <si>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</si>
  <si>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</si>
  <si>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</si>
  <si>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</si>
  <si>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</si>
  <si>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</si>
  <si>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</si>
  <si>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</si>
  <si>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</si>
  <si>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</si>
  <si>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</si>
  <si>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</si>
  <si>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</si>
  <si>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</si>
  <si>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</si>
  <si>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</si>
  <si>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</si>
  <si>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</si>
  <si>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</si>
  <si>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</si>
  <si>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</si>
  <si>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</si>
  <si>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</si>
  <si>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</si>
  <si>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</si>
  <si>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</si>
  <si>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</si>
  <si>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</si>
  <si>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</si>
  <si>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</si>
  <si>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</si>
  <si>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</si>
  <si>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</si>
  <si>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</si>
  <si>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</si>
  <si>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</si>
  <si>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</si>
  <si>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</si>
  <si>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</si>
  <si>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</si>
  <si>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</si>
  <si>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</si>
  <si>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</si>
  <si>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</si>
  <si>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</si>
  <si>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</si>
  <si>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</si>
  <si>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</si>
  <si>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</si>
  <si>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</si>
  <si>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</si>
  <si>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</si>
  <si>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</si>
  <si>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</si>
  <si>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</si>
  <si>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</si>
  <si>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</si>
  <si>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</si>
  <si>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</si>
  <si>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</si>
  <si>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</si>
  <si>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</si>
  <si>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</si>
  <si>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</si>
  <si>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</si>
  <si>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</si>
  <si>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</si>
  <si>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</si>
  <si>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</si>
  <si>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</si>
  <si>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</si>
  <si>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</si>
  <si>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</si>
  <si>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</si>
  <si>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</si>
  <si>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</si>
  <si>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</si>
  <si>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</si>
  <si>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</si>
  <si>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</si>
  <si>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</si>
  <si>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</si>
  <si>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</si>
  <si>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</si>
  <si>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</si>
  <si>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</si>
  <si>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</si>
  <si>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</si>
  <si>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</si>
  <si>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</si>
  <si>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</si>
  <si>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</si>
  <si>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</si>
  <si>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</si>
  <si>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</si>
  <si>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</si>
  <si>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</si>
  <si>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</si>
  <si>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</si>
  <si>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</si>
  <si>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</si>
  <si>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</si>
  <si>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</si>
  <si>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</si>
  <si>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</si>
  <si>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</si>
  <si>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</si>
  <si>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</si>
  <si>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</si>
  <si>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</si>
  <si>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</si>
  <si>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</si>
  <si>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</si>
  <si>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</si>
  <si>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</si>
  <si>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</si>
  <si>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</si>
  <si>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</si>
  <si>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</si>
  <si>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</si>
  <si>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</si>
  <si>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</si>
  <si>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</si>
  <si>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</si>
  <si>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</si>
  <si>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</si>
  <si>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</si>
  <si>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</si>
  <si>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</si>
  <si>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</si>
  <si>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</si>
  <si>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</si>
  <si>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</si>
  <si>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</si>
  <si>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</si>
  <si>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</si>
  <si>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</si>
  <si>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</si>
  <si>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</si>
  <si>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</si>
  <si>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</si>
  <si>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</si>
  <si>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</si>
  <si>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</si>
  <si>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</si>
  <si>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</si>
  <si>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</si>
  <si>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</si>
  <si>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</si>
  <si>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</si>
  <si>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</si>
  <si>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</si>
  <si>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</si>
  <si>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</si>
  <si>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</si>
  <si>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</si>
  <si>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</si>
  <si>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</si>
  <si>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</si>
  <si>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</si>
  <si>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</si>
  <si>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</si>
  <si>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</si>
  <si>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</si>
  <si>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</si>
  <si>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</si>
  <si>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</si>
  <si>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</si>
  <si>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</si>
  <si>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</si>
  <si>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</si>
  <si>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</si>
  <si>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</si>
  <si>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</si>
  <si>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</si>
  <si>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</si>
  <si>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</si>
  <si>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</si>
  <si>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</si>
  <si>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</si>
  <si>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</si>
  <si>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</si>
  <si>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</si>
  <si>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</si>
  <si>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</si>
  <si>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</si>
  <si>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</si>
  <si>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</si>
  <si>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</si>
  <si>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</si>
  <si>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</si>
  <si>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</si>
  <si>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</si>
  <si>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</si>
  <si>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</si>
  <si>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</si>
  <si>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</si>
  <si>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</si>
  <si>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</si>
  <si>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</si>
  <si>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</si>
  <si>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</si>
  <si>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</si>
  <si>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</si>
  <si>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</si>
  <si>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</si>
  <si>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</si>
  <si>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</si>
  <si>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</si>
  <si>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</si>
  <si>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</si>
  <si>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</si>
  <si>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</si>
  <si>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</si>
  <si>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</si>
  <si>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</si>
  <si>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</si>
  <si>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</si>
  <si>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</si>
  <si>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</si>
  <si>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</si>
  <si>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</si>
  <si>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</si>
  <si>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</si>
  <si>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</si>
  <si>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</si>
  <si>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</si>
  <si>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</si>
  <si>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</si>
  <si>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</si>
  <si>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</si>
  <si>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</si>
  <si>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</si>
  <si>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</si>
  <si>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</si>
  <si>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</si>
  <si>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</si>
  <si>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</si>
  <si>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</si>
  <si>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</si>
  <si>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</si>
  <si>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</si>
  <si>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</si>
  <si>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</si>
  <si>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</si>
  <si>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</si>
  <si>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</si>
  <si>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</si>
  <si>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</si>
  <si>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</si>
  <si>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</si>
  <si>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</si>
  <si>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</si>
  <si>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</si>
  <si>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</si>
  <si>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</si>
  <si>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</si>
  <si>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</si>
  <si>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</si>
  <si>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</si>
  <si>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</si>
  <si>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</si>
  <si>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</si>
  <si>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</si>
  <si>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</si>
  <si>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</si>
  <si>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</si>
  <si>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</si>
  <si>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</si>
  <si>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</si>
  <si>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</si>
  <si>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</si>
  <si>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</si>
  <si>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</si>
  <si>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</si>
  <si>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</si>
  <si>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</si>
  <si>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</si>
  <si>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</si>
  <si>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</si>
  <si>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</si>
  <si>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</si>
  <si>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</si>
  <si>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</si>
  <si>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</si>
  <si>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</si>
  <si>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</si>
  <si>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</si>
  <si>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</si>
  <si>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</si>
  <si>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</si>
  <si>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</si>
  <si>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</si>
  <si>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</si>
  <si>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</si>
  <si>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</si>
  <si>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</si>
  <si>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</si>
  <si>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</si>
  <si>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</si>
  <si>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</si>
  <si>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</si>
  <si>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</si>
  <si>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</si>
  <si>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</si>
  <si>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</si>
  <si>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</si>
  <si>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</si>
  <si>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</si>
  <si>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</si>
  <si>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</si>
  <si>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</si>
  <si>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</si>
  <si>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</si>
  <si>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</si>
  <si>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</si>
  <si>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</si>
  <si>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</si>
  <si>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</si>
  <si>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</si>
  <si>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</si>
  <si>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</si>
  <si>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</si>
  <si>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</si>
  <si>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</si>
  <si>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</si>
  <si>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</si>
  <si>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</si>
  <si>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</si>
  <si>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</si>
  <si>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</si>
  <si>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</si>
  <si>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</si>
  <si>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</si>
  <si>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</si>
  <si>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</si>
  <si>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</si>
  <si>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</si>
  <si>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</si>
  <si>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</si>
  <si>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</si>
  <si>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</si>
  <si>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</si>
  <si>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</si>
  <si>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</si>
  <si>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</si>
  <si>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</si>
  <si>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</si>
  <si>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</si>
  <si>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</si>
  <si>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</si>
  <si>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</si>
  <si>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</si>
  <si>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</si>
  <si>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</si>
  <si>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</si>
  <si>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</si>
  <si>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</si>
  <si>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</si>
  <si>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</si>
  <si>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</si>
  <si>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</si>
  <si>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</si>
  <si>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</si>
  <si>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</si>
  <si>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</si>
  <si>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</si>
  <si>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</si>
  <si>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</si>
  <si>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</si>
  <si>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</si>
  <si>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</si>
  <si>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</si>
  <si>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</si>
  <si>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</si>
  <si>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</si>
  <si>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</si>
  <si>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</si>
  <si>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</si>
  <si>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</si>
  <si>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</si>
  <si>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</si>
  <si>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</si>
  <si>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</si>
  <si>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</si>
  <si>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</si>
  <si>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</si>
  <si>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</si>
  <si>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</si>
  <si>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</si>
  <si>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</si>
  <si>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</si>
  <si>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</si>
  <si>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</si>
  <si>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</si>
  <si>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</si>
  <si>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</si>
  <si>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</si>
  <si>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</si>
  <si>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</si>
  <si>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</si>
  <si>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</si>
  <si>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</si>
  <si>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</si>
  <si>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</si>
  <si>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</si>
  <si>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</si>
  <si>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</si>
  <si>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</si>
  <si>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</si>
  <si>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</si>
  <si>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</si>
  <si>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</si>
  <si>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</si>
  <si>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</si>
  <si>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</si>
  <si>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</si>
  <si>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</si>
  <si>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</si>
  <si>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</si>
  <si>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</si>
  <si>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</si>
  <si>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</si>
  <si>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</si>
  <si>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</si>
  <si>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</si>
  <si>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</si>
  <si>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</si>
  <si>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</si>
  <si>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</si>
  <si>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</si>
  <si>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</si>
  <si>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</si>
  <si>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</si>
  <si>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</si>
  <si>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</si>
  <si>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</si>
  <si>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</si>
  <si>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</si>
  <si>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</si>
  <si>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</si>
  <si>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</si>
  <si>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</si>
  <si>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</si>
  <si>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</si>
  <si>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</si>
  <si>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</si>
  <si>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</si>
  <si>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</si>
  <si>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</si>
  <si>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</si>
  <si>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</si>
  <si>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</si>
  <si>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</si>
  <si>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</si>
  <si>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</si>
  <si>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</si>
  <si>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</si>
  <si>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</si>
  <si>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</si>
  <si>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</si>
  <si>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</si>
  <si>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</si>
  <si>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</si>
  <si>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</si>
  <si>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</si>
  <si>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</si>
  <si>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</si>
  <si>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</si>
  <si>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</si>
  <si>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</si>
  <si>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</si>
  <si>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</si>
  <si>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</si>
  <si>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</si>
  <si>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</si>
  <si>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</si>
  <si>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</si>
  <si>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</si>
  <si>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</si>
  <si>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</si>
  <si>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</si>
  <si>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</si>
  <si>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</si>
  <si>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</si>
  <si>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</si>
  <si>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</si>
  <si>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</si>
  <si>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</si>
  <si>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</si>
  <si>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</si>
  <si>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</si>
  <si>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</si>
  <si>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</si>
  <si>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</si>
  <si>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</si>
  <si>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</si>
  <si>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</si>
  <si>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</si>
  <si>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</si>
  <si>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</si>
  <si>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</si>
  <si>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</si>
  <si>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</si>
  <si>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</si>
  <si>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</si>
  <si>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</si>
  <si>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</si>
  <si>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</si>
  <si>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</si>
  <si>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</si>
  <si>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</si>
  <si>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</si>
  <si>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</si>
  <si>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</si>
  <si>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</si>
  <si>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</si>
  <si>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</si>
  <si>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</si>
  <si>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</si>
  <si>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</si>
  <si>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</si>
  <si>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</si>
  <si>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</si>
  <si>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</si>
  <si>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</si>
  <si>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</si>
  <si>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</si>
  <si>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</si>
  <si>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</si>
  <si>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</si>
  <si>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</si>
  <si>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</si>
  <si>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</si>
  <si>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</si>
  <si>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</si>
  <si>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</si>
  <si>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</si>
  <si>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</si>
  <si>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</si>
  <si>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</si>
  <si>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</si>
  <si>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</si>
  <si>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</si>
  <si>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</si>
  <si>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</si>
  <si>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</si>
  <si>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</si>
  <si>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</si>
  <si>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</si>
  <si>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</si>
  <si>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</si>
  <si>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</si>
  <si>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</si>
  <si>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</si>
  <si>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</si>
  <si>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</si>
  <si>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</si>
  <si>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</si>
  <si>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</si>
  <si>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</si>
  <si>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</si>
  <si>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</si>
  <si>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</si>
  <si>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</si>
  <si>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</si>
  <si>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</si>
  <si>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</si>
  <si>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</si>
  <si>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</si>
  <si>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</si>
  <si>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</si>
  <si>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</si>
  <si>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</si>
  <si>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</si>
  <si>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</si>
  <si>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</si>
  <si>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</si>
  <si>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</si>
  <si>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</si>
  <si>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</si>
  <si>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</si>
  <si>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</si>
  <si>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</si>
  <si>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</si>
  <si>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</si>
  <si>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</si>
  <si>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</si>
  <si>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</si>
  <si>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</si>
  <si>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</si>
  <si>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</si>
  <si>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</si>
  <si>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</si>
  <si>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</si>
  <si>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</si>
  <si>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</si>
  <si>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</si>
  <si>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</si>
  <si>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</si>
  <si>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</si>
  <si>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</si>
  <si>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</si>
  <si>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</si>
  <si>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</si>
  <si>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</si>
  <si>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</si>
  <si>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</si>
  <si>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</si>
  <si>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</si>
  <si>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</si>
  <si>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</si>
  <si>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</si>
  <si>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</si>
  <si>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</si>
  <si>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</si>
  <si>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</si>
  <si>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</si>
  <si>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</si>
  <si>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</si>
  <si>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</si>
  <si>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</si>
  <si>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</si>
  <si>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</si>
  <si>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</si>
  <si>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</si>
  <si>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</si>
  <si>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</si>
  <si>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</si>
  <si>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</si>
  <si>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</si>
  <si>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</si>
  <si>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</si>
  <si>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</si>
  <si>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</si>
  <si>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</si>
  <si>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</si>
  <si>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</si>
  <si>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</si>
  <si>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</si>
  <si>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</si>
  <si>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Other additions Capital Project Fund reflects cash account of $50 omitted last year</t>
  </si>
  <si>
    <t>Other deletions includes and adjustment for an additional 2014-15 payable received after the report was filed.</t>
  </si>
  <si>
    <t>Other deletions Capital Projects Fund is late accounts payable not recorded in the 2014-15 fiscal year on the DOE-25.</t>
  </si>
  <si>
    <t>07/12</t>
  </si>
  <si>
    <t>08/32</t>
  </si>
  <si>
    <t>07/13</t>
  </si>
  <si>
    <t>07/33</t>
  </si>
  <si>
    <t>9/14</t>
  </si>
  <si>
    <t>9/34</t>
  </si>
  <si>
    <t>7/14</t>
  </si>
  <si>
    <t>7/34</t>
  </si>
  <si>
    <t>Unity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</si>
</sst>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12" sqref="F1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923</v>
      </c>
      <c r="B2" s="21">
        <v>539</v>
      </c>
      <c r="C2" s="21">
        <v>539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376797</v>
      </c>
      <c r="G9" s="18"/>
      <c r="H9" s="18"/>
      <c r="I9" s="18">
        <v>53369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10169</v>
      </c>
      <c r="G12" s="18">
        <v>3030</v>
      </c>
      <c r="H12" s="18"/>
      <c r="I12" s="18"/>
      <c r="J12" s="67">
        <f>SUM(I441)</f>
        <v>25000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71687</v>
      </c>
      <c r="G13" s="18">
        <v>2518</v>
      </c>
      <c r="H13" s="18">
        <v>20041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458653</v>
      </c>
      <c r="G19" s="41">
        <f>SUM(G9:G18)</f>
        <v>5548</v>
      </c>
      <c r="H19" s="41">
        <f>SUM(H9:H18)</f>
        <v>20041</v>
      </c>
      <c r="I19" s="41">
        <f>SUM(I9:I18)</f>
        <v>53369</v>
      </c>
      <c r="J19" s="41">
        <f>SUM(J9:J18)</f>
        <v>25000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17317</v>
      </c>
      <c r="I22" s="18">
        <v>20882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130692</v>
      </c>
      <c r="G24" s="18">
        <v>5548</v>
      </c>
      <c r="H24" s="18">
        <v>1746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8000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18788</v>
      </c>
      <c r="G29" s="18"/>
      <c r="H29" s="18">
        <v>978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94544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252024</v>
      </c>
      <c r="G32" s="41">
        <f>SUM(G22:G31)</f>
        <v>5548</v>
      </c>
      <c r="H32" s="41">
        <f>SUM(H22:H31)</f>
        <v>20041</v>
      </c>
      <c r="I32" s="41">
        <f>SUM(I22:I31)</f>
        <v>20882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32487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57375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25000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31527+17839</f>
        <v>49366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99888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206629</v>
      </c>
      <c r="G51" s="41">
        <f>SUM(G35:G50)</f>
        <v>0</v>
      </c>
      <c r="H51" s="41">
        <f>SUM(H35:H50)</f>
        <v>0</v>
      </c>
      <c r="I51" s="41">
        <f>SUM(I35:I50)</f>
        <v>32487</v>
      </c>
      <c r="J51" s="41">
        <f>SUM(J35:J50)</f>
        <v>25000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458653</v>
      </c>
      <c r="G52" s="41">
        <f>G51+G32</f>
        <v>5548</v>
      </c>
      <c r="H52" s="41">
        <f>H51+H32</f>
        <v>20041</v>
      </c>
      <c r="I52" s="41">
        <f>I51+I32</f>
        <v>53369</v>
      </c>
      <c r="J52" s="41">
        <f>J51+J32</f>
        <v>25000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2011555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2011555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529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29125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15456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24108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40093</v>
      </c>
      <c r="G111" s="41">
        <f>SUM(G96:G110)</f>
        <v>29125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2051648</v>
      </c>
      <c r="G112" s="41">
        <f>G60+G111</f>
        <v>29125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810912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283452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1094364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106383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224334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868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330717</v>
      </c>
      <c r="G136" s="41">
        <f>SUM(G123:G135)</f>
        <v>868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1425081</v>
      </c>
      <c r="G140" s="41">
        <f>G121+SUM(G136:G137)</f>
        <v>868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v>10359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10359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32977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11050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32558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86923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86923</v>
      </c>
      <c r="G162" s="41">
        <f>SUM(G150:G161)</f>
        <v>32558</v>
      </c>
      <c r="H162" s="41">
        <f>SUM(H150:H161)</f>
        <v>44027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86923</v>
      </c>
      <c r="G169" s="41">
        <f>G147+G162+SUM(G163:G168)</f>
        <v>32558</v>
      </c>
      <c r="H169" s="41">
        <f>H147+H162+SUM(H163:H168)</f>
        <v>54386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15456</v>
      </c>
      <c r="H179" s="18"/>
      <c r="I179" s="18"/>
      <c r="J179" s="18">
        <v>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15456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15456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3563652</v>
      </c>
      <c r="G193" s="47">
        <f>G112+G140+G169+G192</f>
        <v>78007</v>
      </c>
      <c r="H193" s="47">
        <f>H112+H140+H169+H192</f>
        <v>54386</v>
      </c>
      <c r="I193" s="47">
        <f>I112+I140+I169+I192</f>
        <v>0</v>
      </c>
      <c r="J193" s="47">
        <f>J112+J140+J192</f>
        <v>25000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394854</v>
      </c>
      <c r="G197" s="18">
        <v>224715</v>
      </c>
      <c r="H197" s="18">
        <v>11592</v>
      </c>
      <c r="I197" s="18">
        <v>64747</v>
      </c>
      <c r="J197" s="18">
        <v>8898</v>
      </c>
      <c r="K197" s="18"/>
      <c r="L197" s="19">
        <f>SUM(F197:K197)</f>
        <v>704806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67128</v>
      </c>
      <c r="G198" s="18">
        <v>34422</v>
      </c>
      <c r="H198" s="18">
        <v>167515</v>
      </c>
      <c r="I198" s="18">
        <v>1258</v>
      </c>
      <c r="J198" s="18">
        <v>822</v>
      </c>
      <c r="K198" s="18"/>
      <c r="L198" s="19">
        <f>SUM(F198:K198)</f>
        <v>271145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2475</v>
      </c>
      <c r="G200" s="18">
        <v>216</v>
      </c>
      <c r="H200" s="18"/>
      <c r="I200" s="18">
        <v>650</v>
      </c>
      <c r="J200" s="18"/>
      <c r="K200" s="18"/>
      <c r="L200" s="19">
        <f>SUM(F200:K200)</f>
        <v>3341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19797</v>
      </c>
      <c r="G202" s="18">
        <v>1623</v>
      </c>
      <c r="H202" s="18"/>
      <c r="I202" s="18">
        <v>239</v>
      </c>
      <c r="J202" s="18"/>
      <c r="K202" s="18"/>
      <c r="L202" s="19">
        <f t="shared" ref="L202:L208" si="0">SUM(F202:K202)</f>
        <v>21659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29709</v>
      </c>
      <c r="G203" s="18">
        <v>9536</v>
      </c>
      <c r="H203" s="18">
        <v>36434</v>
      </c>
      <c r="I203" s="18">
        <v>3873</v>
      </c>
      <c r="J203" s="18">
        <v>17580</v>
      </c>
      <c r="K203" s="18"/>
      <c r="L203" s="19">
        <f t="shared" si="0"/>
        <v>97132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2788</v>
      </c>
      <c r="G204" s="18">
        <v>185</v>
      </c>
      <c r="H204" s="18">
        <v>244895</v>
      </c>
      <c r="I204" s="18">
        <v>153</v>
      </c>
      <c r="J204" s="18"/>
      <c r="K204" s="18">
        <v>2247</v>
      </c>
      <c r="L204" s="19">
        <f t="shared" si="0"/>
        <v>250268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98846</v>
      </c>
      <c r="G205" s="18">
        <v>49594</v>
      </c>
      <c r="H205" s="18">
        <v>2905</v>
      </c>
      <c r="I205" s="18">
        <v>1581</v>
      </c>
      <c r="J205" s="18">
        <v>1566</v>
      </c>
      <c r="K205" s="18">
        <v>6206</v>
      </c>
      <c r="L205" s="19">
        <f t="shared" si="0"/>
        <v>160698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49369</v>
      </c>
      <c r="G207" s="18">
        <v>15497</v>
      </c>
      <c r="H207" s="18">
        <v>64972</v>
      </c>
      <c r="I207" s="18">
        <v>49828</v>
      </c>
      <c r="J207" s="18">
        <v>4297</v>
      </c>
      <c r="K207" s="18"/>
      <c r="L207" s="19">
        <f t="shared" si="0"/>
        <v>183963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8185+102723+38825</f>
        <v>149733</v>
      </c>
      <c r="I208" s="18"/>
      <c r="J208" s="18"/>
      <c r="K208" s="18"/>
      <c r="L208" s="19">
        <f t="shared" si="0"/>
        <v>149733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664966</v>
      </c>
      <c r="G211" s="41">
        <f t="shared" si="1"/>
        <v>335788</v>
      </c>
      <c r="H211" s="41">
        <f t="shared" si="1"/>
        <v>678046</v>
      </c>
      <c r="I211" s="41">
        <f t="shared" si="1"/>
        <v>122329</v>
      </c>
      <c r="J211" s="41">
        <f t="shared" si="1"/>
        <v>33163</v>
      </c>
      <c r="K211" s="41">
        <f t="shared" si="1"/>
        <v>8453</v>
      </c>
      <c r="L211" s="41">
        <f t="shared" si="1"/>
        <v>1842745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586395</v>
      </c>
      <c r="I233" s="18"/>
      <c r="J233" s="18"/>
      <c r="K233" s="18"/>
      <c r="L233" s="19">
        <f>SUM(F233:K233)</f>
        <v>586395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373318</v>
      </c>
      <c r="I234" s="18"/>
      <c r="J234" s="18"/>
      <c r="K234" s="18"/>
      <c r="L234" s="19">
        <f>SUM(F234:K234)</f>
        <v>373318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7711</v>
      </c>
      <c r="I244" s="18"/>
      <c r="J244" s="18"/>
      <c r="K244" s="18"/>
      <c r="L244" s="19">
        <f t="shared" si="4"/>
        <v>7711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967424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967424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>
        <v>200000</v>
      </c>
      <c r="L255" s="19">
        <f t="shared" si="6"/>
        <v>200000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200000</v>
      </c>
      <c r="L256" s="41">
        <f>SUM(F256:K256)</f>
        <v>200000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664966</v>
      </c>
      <c r="G257" s="41">
        <f t="shared" si="8"/>
        <v>335788</v>
      </c>
      <c r="H257" s="41">
        <f t="shared" si="8"/>
        <v>1645470</v>
      </c>
      <c r="I257" s="41">
        <f t="shared" si="8"/>
        <v>122329</v>
      </c>
      <c r="J257" s="41">
        <f t="shared" si="8"/>
        <v>33163</v>
      </c>
      <c r="K257" s="41">
        <f t="shared" si="8"/>
        <v>208453</v>
      </c>
      <c r="L257" s="41">
        <f t="shared" si="8"/>
        <v>3010169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389431</v>
      </c>
      <c r="L260" s="19">
        <f>SUM(F260:K260)</f>
        <v>389431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260437</v>
      </c>
      <c r="L261" s="19">
        <f>SUM(F261:K261)</f>
        <v>260437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15456</v>
      </c>
      <c r="L263" s="19">
        <f>SUM(F263:K263)</f>
        <v>15456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690324</v>
      </c>
      <c r="L270" s="41">
        <f t="shared" si="9"/>
        <v>690324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664966</v>
      </c>
      <c r="G271" s="42">
        <f t="shared" si="11"/>
        <v>335788</v>
      </c>
      <c r="H271" s="42">
        <f t="shared" si="11"/>
        <v>1645470</v>
      </c>
      <c r="I271" s="42">
        <f t="shared" si="11"/>
        <v>122329</v>
      </c>
      <c r="J271" s="42">
        <f t="shared" si="11"/>
        <v>33163</v>
      </c>
      <c r="K271" s="42">
        <f t="shared" si="11"/>
        <v>898777</v>
      </c>
      <c r="L271" s="42">
        <f t="shared" si="11"/>
        <v>3700493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26435</v>
      </c>
      <c r="G276" s="18">
        <v>5672</v>
      </c>
      <c r="H276" s="18"/>
      <c r="I276" s="18"/>
      <c r="J276" s="18">
        <v>1142</v>
      </c>
      <c r="K276" s="18"/>
      <c r="L276" s="19">
        <f>SUM(F276:K276)</f>
        <v>33249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720</f>
        <v>720</v>
      </c>
      <c r="G279" s="18">
        <v>55</v>
      </c>
      <c r="H279" s="18"/>
      <c r="I279" s="18">
        <v>586</v>
      </c>
      <c r="J279" s="18"/>
      <c r="K279" s="18"/>
      <c r="L279" s="19">
        <f>SUM(F279:K279)</f>
        <v>1361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1600</v>
      </c>
      <c r="G281" s="18">
        <v>198</v>
      </c>
      <c r="H281" s="18">
        <v>394</v>
      </c>
      <c r="I281" s="18">
        <v>78</v>
      </c>
      <c r="J281" s="18"/>
      <c r="K281" s="18"/>
      <c r="L281" s="19">
        <f t="shared" ref="L281:L287" si="12">SUM(F281:K281)</f>
        <v>2270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1850</v>
      </c>
      <c r="G282" s="18">
        <v>272</v>
      </c>
      <c r="H282" s="18">
        <v>14051</v>
      </c>
      <c r="I282" s="18">
        <v>440</v>
      </c>
      <c r="J282" s="18"/>
      <c r="K282" s="18"/>
      <c r="L282" s="19">
        <f t="shared" si="12"/>
        <v>16613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893</v>
      </c>
      <c r="L285" s="19">
        <f t="shared" si="12"/>
        <v>893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30605</v>
      </c>
      <c r="G290" s="42">
        <f t="shared" si="13"/>
        <v>6197</v>
      </c>
      <c r="H290" s="42">
        <f t="shared" si="13"/>
        <v>14445</v>
      </c>
      <c r="I290" s="42">
        <f t="shared" si="13"/>
        <v>1104</v>
      </c>
      <c r="J290" s="42">
        <f t="shared" si="13"/>
        <v>1142</v>
      </c>
      <c r="K290" s="42">
        <f t="shared" si="13"/>
        <v>893</v>
      </c>
      <c r="L290" s="41">
        <f t="shared" si="13"/>
        <v>54386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30605</v>
      </c>
      <c r="G338" s="41">
        <f t="shared" si="20"/>
        <v>6197</v>
      </c>
      <c r="H338" s="41">
        <f t="shared" si="20"/>
        <v>14445</v>
      </c>
      <c r="I338" s="41">
        <f t="shared" si="20"/>
        <v>1104</v>
      </c>
      <c r="J338" s="41">
        <f t="shared" si="20"/>
        <v>1142</v>
      </c>
      <c r="K338" s="41">
        <f t="shared" si="20"/>
        <v>893</v>
      </c>
      <c r="L338" s="41">
        <f t="shared" si="20"/>
        <v>54386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30605</v>
      </c>
      <c r="G352" s="41">
        <f>G338</f>
        <v>6197</v>
      </c>
      <c r="H352" s="41">
        <f>H338</f>
        <v>14445</v>
      </c>
      <c r="I352" s="41">
        <f>I338</f>
        <v>1104</v>
      </c>
      <c r="J352" s="41">
        <f>J338</f>
        <v>1142</v>
      </c>
      <c r="K352" s="47">
        <f>K338+K351</f>
        <v>893</v>
      </c>
      <c r="L352" s="41">
        <f>L338+L351</f>
        <v>54386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71986</v>
      </c>
      <c r="I358" s="18">
        <v>6021</v>
      </c>
      <c r="J358" s="18"/>
      <c r="K358" s="18"/>
      <c r="L358" s="13">
        <f>SUM(F358:K358)</f>
        <v>78007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71986</v>
      </c>
      <c r="I362" s="47">
        <f t="shared" si="22"/>
        <v>6021</v>
      </c>
      <c r="J362" s="47">
        <f t="shared" si="22"/>
        <v>0</v>
      </c>
      <c r="K362" s="47">
        <f t="shared" si="22"/>
        <v>0</v>
      </c>
      <c r="L362" s="47">
        <f t="shared" si="22"/>
        <v>78007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5648</v>
      </c>
      <c r="G367" s="18"/>
      <c r="H367" s="18"/>
      <c r="I367" s="56">
        <f>SUM(F367:H367)</f>
        <v>5648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373</v>
      </c>
      <c r="G368" s="63"/>
      <c r="H368" s="63"/>
      <c r="I368" s="56">
        <f>SUM(F368:H368)</f>
        <v>373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6021</v>
      </c>
      <c r="G369" s="47">
        <f>SUM(G367:G368)</f>
        <v>0</v>
      </c>
      <c r="H369" s="47">
        <f>SUM(H367:H368)</f>
        <v>0</v>
      </c>
      <c r="I369" s="47">
        <f>SUM(I367:I368)</f>
        <v>6021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5754</v>
      </c>
      <c r="I379" s="18"/>
      <c r="J379" s="18"/>
      <c r="K379" s="18"/>
      <c r="L379" s="13">
        <f t="shared" si="23"/>
        <v>5754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5754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5754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/>
      <c r="I396" s="18"/>
      <c r="J396" s="24" t="s">
        <v>289</v>
      </c>
      <c r="K396" s="24" t="s">
        <v>289</v>
      </c>
      <c r="L396" s="56">
        <f t="shared" si="26"/>
        <v>25000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25000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25000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25000</v>
      </c>
      <c r="H441" s="18"/>
      <c r="I441" s="56">
        <f t="shared" si="33"/>
        <v>25000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25000</v>
      </c>
      <c r="H446" s="13">
        <f>SUM(H439:H445)</f>
        <v>0</v>
      </c>
      <c r="I446" s="13">
        <f>SUM(I439:I445)</f>
        <v>25000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25000</v>
      </c>
      <c r="H459" s="18"/>
      <c r="I459" s="56">
        <f t="shared" si="34"/>
        <v>25000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25000</v>
      </c>
      <c r="H460" s="83">
        <f>SUM(H454:H459)</f>
        <v>0</v>
      </c>
      <c r="I460" s="83">
        <f>SUM(I454:I459)</f>
        <v>25000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25000</v>
      </c>
      <c r="H461" s="42">
        <f>H452+H460</f>
        <v>0</v>
      </c>
      <c r="I461" s="42">
        <f>I452+I460</f>
        <v>25000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346017</v>
      </c>
      <c r="G465" s="18">
        <v>0</v>
      </c>
      <c r="H465" s="18">
        <v>0</v>
      </c>
      <c r="I465" s="18">
        <v>52914</v>
      </c>
      <c r="J465" s="18">
        <v>0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3563652</v>
      </c>
      <c r="G468" s="18">
        <f>G193</f>
        <v>78007</v>
      </c>
      <c r="H468" s="18">
        <f>H169</f>
        <v>54386</v>
      </c>
      <c r="I468" s="18">
        <f>I193</f>
        <v>0</v>
      </c>
      <c r="J468" s="18">
        <v>25000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>
        <v>50</v>
      </c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3563652</v>
      </c>
      <c r="G470" s="53">
        <f>SUM(G468:G469)</f>
        <v>78007</v>
      </c>
      <c r="H470" s="53">
        <f>SUM(H468:H469)</f>
        <v>54386</v>
      </c>
      <c r="I470" s="53">
        <f>SUM(I468:I469)</f>
        <v>50</v>
      </c>
      <c r="J470" s="53">
        <f>SUM(J468:J469)</f>
        <v>25000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3700493</v>
      </c>
      <c r="G472" s="18">
        <f>L362</f>
        <v>78007</v>
      </c>
      <c r="H472" s="18">
        <f>L352</f>
        <v>54386</v>
      </c>
      <c r="I472" s="18">
        <f>L382</f>
        <v>5754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2547</v>
      </c>
      <c r="G473" s="18"/>
      <c r="H473" s="18"/>
      <c r="I473" s="18">
        <v>14723</v>
      </c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3703040</v>
      </c>
      <c r="G474" s="53">
        <f>SUM(G472:G473)</f>
        <v>78007</v>
      </c>
      <c r="H474" s="53">
        <f>SUM(H472:H473)</f>
        <v>54386</v>
      </c>
      <c r="I474" s="53">
        <f>SUM(I472:I473)</f>
        <v>20477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206629</v>
      </c>
      <c r="G476" s="53">
        <f>(G465+G470)- G474</f>
        <v>0</v>
      </c>
      <c r="H476" s="53">
        <f>(H465+H470)- H474</f>
        <v>0</v>
      </c>
      <c r="I476" s="53">
        <f>(I465+I470)- I474</f>
        <v>32487</v>
      </c>
      <c r="J476" s="53">
        <f>(J465+J470)- J474</f>
        <v>25000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>
        <v>20</v>
      </c>
      <c r="I490" s="154">
        <v>20</v>
      </c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915</v>
      </c>
      <c r="G491" s="155" t="s">
        <v>917</v>
      </c>
      <c r="H491" s="155" t="s">
        <v>919</v>
      </c>
      <c r="I491" s="155" t="s">
        <v>921</v>
      </c>
      <c r="J491" s="155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916</v>
      </c>
      <c r="G492" s="155" t="s">
        <v>918</v>
      </c>
      <c r="H492" s="155" t="s">
        <v>920</v>
      </c>
      <c r="I492" s="155" t="s">
        <v>922</v>
      </c>
      <c r="J492" s="155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4571850</v>
      </c>
      <c r="G493" s="18">
        <v>550000</v>
      </c>
      <c r="H493" s="18">
        <v>738629</v>
      </c>
      <c r="I493" s="18">
        <v>1800000</v>
      </c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3.2</v>
      </c>
      <c r="G494" s="18">
        <v>3.25</v>
      </c>
      <c r="H494" s="18">
        <v>3.25</v>
      </c>
      <c r="I494" s="18">
        <v>4.5</v>
      </c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4110000</v>
      </c>
      <c r="G495" s="18">
        <v>522500</v>
      </c>
      <c r="H495" s="18">
        <v>738629</v>
      </c>
      <c r="I495" s="18">
        <v>1800000</v>
      </c>
      <c r="J495" s="18"/>
      <c r="K495" s="53">
        <f>SUM(F495:J495)</f>
        <v>7171129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>
        <v>0</v>
      </c>
      <c r="I496" s="18">
        <v>0</v>
      </c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230000</v>
      </c>
      <c r="G497" s="18">
        <v>27500</v>
      </c>
      <c r="H497" s="18">
        <v>36931.449999999997</v>
      </c>
      <c r="I497" s="18">
        <v>95000</v>
      </c>
      <c r="J497" s="18"/>
      <c r="K497" s="53">
        <f t="shared" si="35"/>
        <v>389431.45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3880000</v>
      </c>
      <c r="G498" s="204">
        <f>G495-G497</f>
        <v>495000</v>
      </c>
      <c r="H498" s="204">
        <f t="shared" ref="H498:I498" si="36">H495-H497</f>
        <v>701697.55</v>
      </c>
      <c r="I498" s="204">
        <f t="shared" si="36"/>
        <v>1705000</v>
      </c>
      <c r="J498" s="204"/>
      <c r="K498" s="205">
        <f t="shared" si="35"/>
        <v>6781697.5499999998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1302703-139144</f>
        <v>1163559</v>
      </c>
      <c r="G499" s="18">
        <v>144843</v>
      </c>
      <c r="H499" s="18">
        <v>228052</v>
      </c>
      <c r="I499" s="18">
        <v>726750</v>
      </c>
      <c r="J499" s="18"/>
      <c r="K499" s="53">
        <f t="shared" si="35"/>
        <v>2263204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5043559</v>
      </c>
      <c r="G500" s="42">
        <f>SUM(G498:G499)</f>
        <v>639843</v>
      </c>
      <c r="H500" s="42">
        <f>SUM(H498:H499)</f>
        <v>929749.55</v>
      </c>
      <c r="I500" s="42">
        <f>SUM(I498:I499)</f>
        <v>2431750</v>
      </c>
      <c r="J500" s="42">
        <f>SUM(J498:J499)</f>
        <v>0</v>
      </c>
      <c r="K500" s="42">
        <f t="shared" si="35"/>
        <v>9044901.5500000007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230000</v>
      </c>
      <c r="G501" s="204">
        <v>27500</v>
      </c>
      <c r="H501" s="204">
        <v>36931</v>
      </c>
      <c r="I501" s="204">
        <v>95000</v>
      </c>
      <c r="J501" s="204"/>
      <c r="K501" s="205">
        <f t="shared" si="35"/>
        <v>389431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131783.76</v>
      </c>
      <c r="G502" s="18">
        <f>-894+16531</f>
        <v>15637</v>
      </c>
      <c r="H502" s="18">
        <v>22805</v>
      </c>
      <c r="I502" s="18">
        <v>76725</v>
      </c>
      <c r="J502" s="18"/>
      <c r="K502" s="53">
        <f t="shared" si="35"/>
        <v>246950.76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361783.76</v>
      </c>
      <c r="G503" s="42">
        <f>SUM(G501:G502)</f>
        <v>43137</v>
      </c>
      <c r="H503" s="42">
        <f>SUM(H501:H502)</f>
        <v>59736</v>
      </c>
      <c r="I503" s="42">
        <f>SUM(I501:I502)</f>
        <v>171725</v>
      </c>
      <c r="J503" s="42">
        <f>SUM(J501:J502)</f>
        <v>0</v>
      </c>
      <c r="K503" s="42">
        <f t="shared" si="35"/>
        <v>636381.76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67128</v>
      </c>
      <c r="G521" s="18">
        <v>34422</v>
      </c>
      <c r="H521" s="18">
        <v>167515</v>
      </c>
      <c r="I521" s="18">
        <v>1258</v>
      </c>
      <c r="J521" s="18">
        <v>822</v>
      </c>
      <c r="K521" s="18"/>
      <c r="L521" s="88">
        <f>SUM(F521:K521)</f>
        <v>271145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373318</v>
      </c>
      <c r="I523" s="18"/>
      <c r="J523" s="18"/>
      <c r="K523" s="18"/>
      <c r="L523" s="88">
        <f>SUM(F523:K523)</f>
        <v>373318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67128</v>
      </c>
      <c r="G524" s="108">
        <f t="shared" ref="G524:L524" si="37">SUM(G521:G523)</f>
        <v>34422</v>
      </c>
      <c r="H524" s="108">
        <f t="shared" si="37"/>
        <v>540833</v>
      </c>
      <c r="I524" s="108">
        <f t="shared" si="37"/>
        <v>1258</v>
      </c>
      <c r="J524" s="108">
        <f t="shared" si="37"/>
        <v>822</v>
      </c>
      <c r="K524" s="108">
        <f t="shared" si="37"/>
        <v>0</v>
      </c>
      <c r="L524" s="89">
        <f t="shared" si="37"/>
        <v>644463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64984</v>
      </c>
      <c r="I526" s="18"/>
      <c r="J526" s="18"/>
      <c r="K526" s="18"/>
      <c r="L526" s="88">
        <f>SUM(F526:K526)</f>
        <v>64984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64984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64984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10983</v>
      </c>
      <c r="G531" s="18">
        <v>6012</v>
      </c>
      <c r="H531" s="18">
        <v>227</v>
      </c>
      <c r="I531" s="18">
        <v>45</v>
      </c>
      <c r="J531" s="18">
        <v>0</v>
      </c>
      <c r="K531" s="18">
        <v>184</v>
      </c>
      <c r="L531" s="88">
        <f>SUM(F531:K531)</f>
        <v>17451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10983</v>
      </c>
      <c r="G534" s="89">
        <f t="shared" ref="G534:L534" si="39">SUM(G531:G533)</f>
        <v>6012</v>
      </c>
      <c r="H534" s="89">
        <f t="shared" si="39"/>
        <v>227</v>
      </c>
      <c r="I534" s="89">
        <f t="shared" si="39"/>
        <v>45</v>
      </c>
      <c r="J534" s="89">
        <f t="shared" si="39"/>
        <v>0</v>
      </c>
      <c r="K534" s="89">
        <f t="shared" si="39"/>
        <v>184</v>
      </c>
      <c r="L534" s="89">
        <f t="shared" si="39"/>
        <v>17451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38825</v>
      </c>
      <c r="I541" s="18"/>
      <c r="J541" s="18"/>
      <c r="K541" s="18"/>
      <c r="L541" s="88">
        <f>SUM(F541:K541)</f>
        <v>38825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7711</v>
      </c>
      <c r="I543" s="18"/>
      <c r="J543" s="18"/>
      <c r="K543" s="18"/>
      <c r="L543" s="88">
        <f>SUM(F543:K543)</f>
        <v>7711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46536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46536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78111</v>
      </c>
      <c r="G545" s="89">
        <f t="shared" ref="G545:L545" si="42">G524+G529+G534+G539+G544</f>
        <v>40434</v>
      </c>
      <c r="H545" s="89">
        <f t="shared" si="42"/>
        <v>652580</v>
      </c>
      <c r="I545" s="89">
        <f t="shared" si="42"/>
        <v>1303</v>
      </c>
      <c r="J545" s="89">
        <f t="shared" si="42"/>
        <v>822</v>
      </c>
      <c r="K545" s="89">
        <f t="shared" si="42"/>
        <v>184</v>
      </c>
      <c r="L545" s="89">
        <f t="shared" si="42"/>
        <v>773434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271145</v>
      </c>
      <c r="G549" s="87">
        <f>L526</f>
        <v>64984</v>
      </c>
      <c r="H549" s="87">
        <f>L531</f>
        <v>17451</v>
      </c>
      <c r="I549" s="87">
        <f>L536</f>
        <v>0</v>
      </c>
      <c r="J549" s="87">
        <f>L541</f>
        <v>38825</v>
      </c>
      <c r="K549" s="87">
        <f>SUM(F549:J549)</f>
        <v>392405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373318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7711</v>
      </c>
      <c r="K551" s="87">
        <f>SUM(F551:J551)</f>
        <v>381029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644463</v>
      </c>
      <c r="G552" s="89">
        <f t="shared" si="43"/>
        <v>64984</v>
      </c>
      <c r="H552" s="89">
        <f t="shared" si="43"/>
        <v>17451</v>
      </c>
      <c r="I552" s="89">
        <f t="shared" si="43"/>
        <v>0</v>
      </c>
      <c r="J552" s="89">
        <f t="shared" si="43"/>
        <v>46536</v>
      </c>
      <c r="K552" s="89">
        <f t="shared" si="43"/>
        <v>773434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586395</v>
      </c>
      <c r="I575" s="87">
        <f>SUM(F575:H575)</f>
        <v>586395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5436</v>
      </c>
      <c r="I579" s="87">
        <f t="shared" si="48"/>
        <v>5436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48766</v>
      </c>
      <c r="I580" s="87">
        <f t="shared" si="48"/>
        <v>48766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102207</v>
      </c>
      <c r="G582" s="18"/>
      <c r="H582" s="18">
        <v>319116</v>
      </c>
      <c r="I582" s="87">
        <f t="shared" si="48"/>
        <v>421323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102723</v>
      </c>
      <c r="I591" s="18"/>
      <c r="J591" s="18"/>
      <c r="K591" s="104">
        <f t="shared" ref="K591:K597" si="49">SUM(H591:J591)</f>
        <v>102723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38825</v>
      </c>
      <c r="I592" s="18"/>
      <c r="J592" s="18">
        <v>7711</v>
      </c>
      <c r="K592" s="104">
        <f t="shared" si="49"/>
        <v>46536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8185</v>
      </c>
      <c r="I595" s="18"/>
      <c r="J595" s="18"/>
      <c r="K595" s="104">
        <f t="shared" si="49"/>
        <v>8185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149733</v>
      </c>
      <c r="I598" s="108">
        <f>SUM(I591:I597)</f>
        <v>0</v>
      </c>
      <c r="J598" s="108">
        <f>SUM(J591:J597)</f>
        <v>7711</v>
      </c>
      <c r="K598" s="108">
        <f>SUM(K591:K597)</f>
        <v>157444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34305</v>
      </c>
      <c r="I604" s="18"/>
      <c r="J604" s="18"/>
      <c r="K604" s="104">
        <f>SUM(H604:J604)</f>
        <v>34305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34305</v>
      </c>
      <c r="I605" s="108">
        <f>SUM(I602:I604)</f>
        <v>0</v>
      </c>
      <c r="J605" s="108">
        <f>SUM(J602:J604)</f>
        <v>0</v>
      </c>
      <c r="K605" s="108">
        <f>SUM(K602:K604)</f>
        <v>34305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720</v>
      </c>
      <c r="G611" s="18">
        <v>55</v>
      </c>
      <c r="H611" s="18"/>
      <c r="I611" s="18">
        <v>586</v>
      </c>
      <c r="J611" s="18"/>
      <c r="K611" s="18"/>
      <c r="L611" s="88">
        <f>SUM(F611:K611)</f>
        <v>1361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720</v>
      </c>
      <c r="G614" s="108">
        <f t="shared" si="50"/>
        <v>55</v>
      </c>
      <c r="H614" s="108">
        <f t="shared" si="50"/>
        <v>0</v>
      </c>
      <c r="I614" s="108">
        <f t="shared" si="50"/>
        <v>586</v>
      </c>
      <c r="J614" s="108">
        <f t="shared" si="50"/>
        <v>0</v>
      </c>
      <c r="K614" s="108">
        <f t="shared" si="50"/>
        <v>0</v>
      </c>
      <c r="L614" s="89">
        <f t="shared" si="50"/>
        <v>1361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458653</v>
      </c>
      <c r="H617" s="109">
        <f>SUM(F52)</f>
        <v>458653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5548</v>
      </c>
      <c r="H618" s="109">
        <f>SUM(G52)</f>
        <v>5548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20041</v>
      </c>
      <c r="H619" s="109">
        <f>SUM(H52)</f>
        <v>20041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53369</v>
      </c>
      <c r="H620" s="109">
        <f>SUM(I52)</f>
        <v>53369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25000</v>
      </c>
      <c r="H621" s="109">
        <f>SUM(J52)</f>
        <v>25000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206629</v>
      </c>
      <c r="H622" s="109">
        <f>F476</f>
        <v>206629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32487</v>
      </c>
      <c r="H625" s="109">
        <f>I476</f>
        <v>32487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25000</v>
      </c>
      <c r="H626" s="109">
        <f>J476</f>
        <v>25000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3563652</v>
      </c>
      <c r="H627" s="104">
        <f>SUM(F468)</f>
        <v>3563652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78007</v>
      </c>
      <c r="H628" s="104">
        <f>SUM(G468)</f>
        <v>78007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54386</v>
      </c>
      <c r="H629" s="104">
        <f>SUM(H468)</f>
        <v>54386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25000</v>
      </c>
      <c r="H631" s="104">
        <f>SUM(J468)</f>
        <v>25000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3700493</v>
      </c>
      <c r="H632" s="104">
        <f>SUM(F472)</f>
        <v>3700493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54386</v>
      </c>
      <c r="H633" s="104">
        <f>SUM(H472)</f>
        <v>54386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6021</v>
      </c>
      <c r="H634" s="104">
        <f>I369</f>
        <v>6021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78007</v>
      </c>
      <c r="H635" s="104">
        <f>SUM(G472)</f>
        <v>78007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5754</v>
      </c>
      <c r="H636" s="104">
        <f>SUM(I472)</f>
        <v>5754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25000</v>
      </c>
      <c r="H637" s="164">
        <f>SUM(J468)</f>
        <v>25000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25000</v>
      </c>
      <c r="H640" s="104">
        <f>SUM(G461)</f>
        <v>25000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25000</v>
      </c>
      <c r="H642" s="104">
        <f>SUM(I461)</f>
        <v>25000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25000</v>
      </c>
      <c r="H646" s="104">
        <f>L408</f>
        <v>25000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157444</v>
      </c>
      <c r="H647" s="104">
        <f>L208+L226+L244</f>
        <v>157444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34305</v>
      </c>
      <c r="H648" s="104">
        <f>(J257+J338)-(J255+J336)</f>
        <v>34305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149733</v>
      </c>
      <c r="H649" s="104">
        <f>H598</f>
        <v>149733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7711</v>
      </c>
      <c r="H651" s="104">
        <f>J598</f>
        <v>7711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15456</v>
      </c>
      <c r="H652" s="104">
        <f>K263+K345</f>
        <v>15456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1975138</v>
      </c>
      <c r="G660" s="19">
        <f>(L229+L309+L359)</f>
        <v>0</v>
      </c>
      <c r="H660" s="19">
        <f>(L247+L328+L360)</f>
        <v>967424</v>
      </c>
      <c r="I660" s="19">
        <f>SUM(F660:H660)</f>
        <v>2942562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29125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29125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149733</v>
      </c>
      <c r="G662" s="19">
        <f>(L226+L306)-(J226+J306)</f>
        <v>0</v>
      </c>
      <c r="H662" s="19">
        <f>(L244+L325)-(J244+J325)</f>
        <v>7711</v>
      </c>
      <c r="I662" s="19">
        <f>SUM(F662:H662)</f>
        <v>157444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137873</v>
      </c>
      <c r="G663" s="199">
        <f>SUM(G575:G587)+SUM(I602:I604)+L612</f>
        <v>0</v>
      </c>
      <c r="H663" s="199">
        <f>SUM(H575:H587)+SUM(J602:J604)+L613</f>
        <v>959713</v>
      </c>
      <c r="I663" s="19">
        <f>SUM(F663:H663)</f>
        <v>1097586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1658407</v>
      </c>
      <c r="G664" s="19">
        <f>G660-SUM(G661:G663)</f>
        <v>0</v>
      </c>
      <c r="H664" s="19">
        <f>H660-SUM(H661:H663)</f>
        <v>0</v>
      </c>
      <c r="I664" s="19">
        <f>I660-SUM(I661:I663)</f>
        <v>1658407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120.41</v>
      </c>
      <c r="G665" s="248"/>
      <c r="H665" s="248"/>
      <c r="I665" s="19">
        <f>SUM(F665:H665)</f>
        <v>120.41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13773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13773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13773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13773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zoomScale="120" zoomScaleNormal="120"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Unity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421289</v>
      </c>
      <c r="C9" s="229">
        <f>'DOE25'!G197+'DOE25'!G215+'DOE25'!G233+'DOE25'!G276+'DOE25'!G295+'DOE25'!G314</f>
        <v>230387</v>
      </c>
    </row>
    <row r="10" spans="1:3" x14ac:dyDescent="0.2">
      <c r="A10" t="s">
        <v>779</v>
      </c>
      <c r="B10" s="240">
        <v>352817</v>
      </c>
      <c r="C10" s="240">
        <v>220012</v>
      </c>
    </row>
    <row r="11" spans="1:3" x14ac:dyDescent="0.2">
      <c r="A11" t="s">
        <v>780</v>
      </c>
      <c r="B11" s="240">
        <v>68472</v>
      </c>
      <c r="C11" s="240">
        <v>10375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421289</v>
      </c>
      <c r="C13" s="231">
        <f>SUM(C10:C12)</f>
        <v>230387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67128</v>
      </c>
      <c r="C18" s="229">
        <f>'DOE25'!G198+'DOE25'!G216+'DOE25'!G234+'DOE25'!G277+'DOE25'!G296+'DOE25'!G315</f>
        <v>34422</v>
      </c>
    </row>
    <row r="19" spans="1:3" x14ac:dyDescent="0.2">
      <c r="A19" t="s">
        <v>779</v>
      </c>
      <c r="B19" s="240">
        <f>42891+4635</f>
        <v>47526</v>
      </c>
      <c r="C19" s="240">
        <v>21456</v>
      </c>
    </row>
    <row r="20" spans="1:3" x14ac:dyDescent="0.2">
      <c r="A20" t="s">
        <v>780</v>
      </c>
      <c r="B20" s="240">
        <v>19602</v>
      </c>
      <c r="C20" s="240">
        <v>12966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67128</v>
      </c>
      <c r="C22" s="231">
        <f>SUM(C19:C21)</f>
        <v>34422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3195</v>
      </c>
      <c r="C36" s="235">
        <f>'DOE25'!G200+'DOE25'!G218+'DOE25'!G236+'DOE25'!G279+'DOE25'!G298+'DOE25'!G317</f>
        <v>271</v>
      </c>
    </row>
    <row r="37" spans="1:3" x14ac:dyDescent="0.2">
      <c r="A37" t="s">
        <v>779</v>
      </c>
      <c r="B37" s="240">
        <v>1220</v>
      </c>
      <c r="C37" s="240">
        <v>120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1975</v>
      </c>
      <c r="C39" s="240">
        <v>151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3195</v>
      </c>
      <c r="C40" s="231">
        <f>SUM(C37:C39)</f>
        <v>271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Unity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1939005</v>
      </c>
      <c r="D5" s="20">
        <f>SUM('DOE25'!L197:L200)+SUM('DOE25'!L215:L218)+SUM('DOE25'!L233:L236)-F5-G5</f>
        <v>1929285</v>
      </c>
      <c r="E5" s="243"/>
      <c r="F5" s="255">
        <f>SUM('DOE25'!J197:J200)+SUM('DOE25'!J215:J218)+SUM('DOE25'!J233:J236)</f>
        <v>9720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21659</v>
      </c>
      <c r="D6" s="20">
        <f>'DOE25'!L202+'DOE25'!L220+'DOE25'!L238-F6-G6</f>
        <v>21659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97132</v>
      </c>
      <c r="D7" s="20">
        <f>'DOE25'!L203+'DOE25'!L221+'DOE25'!L239-F7-G7</f>
        <v>79552</v>
      </c>
      <c r="E7" s="243"/>
      <c r="F7" s="255">
        <f>'DOE25'!J203+'DOE25'!J221+'DOE25'!J239</f>
        <v>17580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139902</v>
      </c>
      <c r="D8" s="243"/>
      <c r="E8" s="20">
        <f>'DOE25'!L204+'DOE25'!L222+'DOE25'!L240-F8-G8-D9-D11</f>
        <v>137655</v>
      </c>
      <c r="F8" s="255">
        <f>'DOE25'!J204+'DOE25'!J222+'DOE25'!J240</f>
        <v>0</v>
      </c>
      <c r="G8" s="53">
        <f>'DOE25'!K204+'DOE25'!K222+'DOE25'!K240</f>
        <v>2247</v>
      </c>
      <c r="H8" s="259"/>
    </row>
    <row r="9" spans="1:9" x14ac:dyDescent="0.2">
      <c r="A9" s="32">
        <v>2310</v>
      </c>
      <c r="B9" t="s">
        <v>818</v>
      </c>
      <c r="C9" s="245">
        <f t="shared" si="0"/>
        <v>78237</v>
      </c>
      <c r="D9" s="244">
        <v>78237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9804</v>
      </c>
      <c r="D10" s="243"/>
      <c r="E10" s="244">
        <v>9804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32129</v>
      </c>
      <c r="D11" s="244">
        <v>32129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160698</v>
      </c>
      <c r="D12" s="20">
        <f>'DOE25'!L205+'DOE25'!L223+'DOE25'!L241-F12-G12</f>
        <v>152926</v>
      </c>
      <c r="E12" s="243"/>
      <c r="F12" s="255">
        <f>'DOE25'!J205+'DOE25'!J223+'DOE25'!J241</f>
        <v>1566</v>
      </c>
      <c r="G12" s="53">
        <f>'DOE25'!K205+'DOE25'!K223+'DOE25'!K241</f>
        <v>6206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183963</v>
      </c>
      <c r="D14" s="20">
        <f>'DOE25'!L207+'DOE25'!L225+'DOE25'!L243-F14-G14</f>
        <v>179666</v>
      </c>
      <c r="E14" s="243"/>
      <c r="F14" s="255">
        <f>'DOE25'!J207+'DOE25'!J225+'DOE25'!J243</f>
        <v>4297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157444</v>
      </c>
      <c r="D15" s="20">
        <f>'DOE25'!L208+'DOE25'!L226+'DOE25'!L244-F15-G15</f>
        <v>157444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200000</v>
      </c>
      <c r="D22" s="243"/>
      <c r="E22" s="243"/>
      <c r="F22" s="255">
        <f>'DOE25'!L255+'DOE25'!L336</f>
        <v>200000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649868</v>
      </c>
      <c r="D25" s="243"/>
      <c r="E25" s="243"/>
      <c r="F25" s="258"/>
      <c r="G25" s="256"/>
      <c r="H25" s="257">
        <f>'DOE25'!L260+'DOE25'!L261+'DOE25'!L341+'DOE25'!L342</f>
        <v>649868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72359</v>
      </c>
      <c r="D29" s="20">
        <f>'DOE25'!L358+'DOE25'!L359+'DOE25'!L360-'DOE25'!I367-F29-G29</f>
        <v>72359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54386</v>
      </c>
      <c r="D31" s="20">
        <f>'DOE25'!L290+'DOE25'!L309+'DOE25'!L328+'DOE25'!L333+'DOE25'!L334+'DOE25'!L335-F31-G31</f>
        <v>52351</v>
      </c>
      <c r="E31" s="243"/>
      <c r="F31" s="255">
        <f>'DOE25'!J290+'DOE25'!J309+'DOE25'!J328+'DOE25'!J333+'DOE25'!J334+'DOE25'!J335</f>
        <v>1142</v>
      </c>
      <c r="G31" s="53">
        <f>'DOE25'!K290+'DOE25'!K309+'DOE25'!K328+'DOE25'!K333+'DOE25'!K334+'DOE25'!K335</f>
        <v>893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2755608</v>
      </c>
      <c r="E33" s="246">
        <f>SUM(E5:E31)</f>
        <v>147459</v>
      </c>
      <c r="F33" s="246">
        <f>SUM(F5:F31)</f>
        <v>234305</v>
      </c>
      <c r="G33" s="246">
        <f>SUM(G5:G31)</f>
        <v>9346</v>
      </c>
      <c r="H33" s="246">
        <f>SUM(H5:H31)</f>
        <v>649868</v>
      </c>
    </row>
    <row r="35" spans="2:8" ht="12" thickBot="1" x14ac:dyDescent="0.25">
      <c r="B35" s="253" t="s">
        <v>847</v>
      </c>
      <c r="D35" s="254">
        <f>E33</f>
        <v>147459</v>
      </c>
      <c r="E35" s="249"/>
    </row>
    <row r="36" spans="2:8" ht="12" thickTop="1" x14ac:dyDescent="0.2">
      <c r="B36" t="s">
        <v>815</v>
      </c>
      <c r="D36" s="20">
        <f>D33</f>
        <v>2755608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Unity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376797</v>
      </c>
      <c r="D8" s="95">
        <f>'DOE25'!G9</f>
        <v>0</v>
      </c>
      <c r="E8" s="95">
        <f>'DOE25'!H9</f>
        <v>0</v>
      </c>
      <c r="F8" s="95">
        <f>'DOE25'!I9</f>
        <v>53369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10169</v>
      </c>
      <c r="D11" s="95">
        <f>'DOE25'!G12</f>
        <v>3030</v>
      </c>
      <c r="E11" s="95">
        <f>'DOE25'!H12</f>
        <v>0</v>
      </c>
      <c r="F11" s="95">
        <f>'DOE25'!I12</f>
        <v>0</v>
      </c>
      <c r="G11" s="95">
        <f>'DOE25'!J12</f>
        <v>25000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71687</v>
      </c>
      <c r="D12" s="95">
        <f>'DOE25'!G13</f>
        <v>2518</v>
      </c>
      <c r="E12" s="95">
        <f>'DOE25'!H13</f>
        <v>20041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458653</v>
      </c>
      <c r="D18" s="41">
        <f>SUM(D8:D17)</f>
        <v>5548</v>
      </c>
      <c r="E18" s="41">
        <f>SUM(E8:E17)</f>
        <v>20041</v>
      </c>
      <c r="F18" s="41">
        <f>SUM(F8:F17)</f>
        <v>53369</v>
      </c>
      <c r="G18" s="41">
        <f>SUM(G8:G17)</f>
        <v>25000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17317</v>
      </c>
      <c r="F21" s="95">
        <f>'DOE25'!I22</f>
        <v>20882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130692</v>
      </c>
      <c r="D23" s="95">
        <f>'DOE25'!G24</f>
        <v>5548</v>
      </c>
      <c r="E23" s="95">
        <f>'DOE25'!H24</f>
        <v>1746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8000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18788</v>
      </c>
      <c r="D28" s="95">
        <f>'DOE25'!G29</f>
        <v>0</v>
      </c>
      <c r="E28" s="95">
        <f>'DOE25'!H29</f>
        <v>978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94544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252024</v>
      </c>
      <c r="D31" s="41">
        <f>SUM(D21:D30)</f>
        <v>5548</v>
      </c>
      <c r="E31" s="41">
        <f>SUM(E21:E30)</f>
        <v>20041</v>
      </c>
      <c r="F31" s="41">
        <f>SUM(F21:F30)</f>
        <v>20882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32487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57375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25000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49366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99888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206629</v>
      </c>
      <c r="D50" s="41">
        <f>SUM(D34:D49)</f>
        <v>0</v>
      </c>
      <c r="E50" s="41">
        <f>SUM(E34:E49)</f>
        <v>0</v>
      </c>
      <c r="F50" s="41">
        <f>SUM(F34:F49)</f>
        <v>32487</v>
      </c>
      <c r="G50" s="41">
        <f>SUM(G34:G49)</f>
        <v>25000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458653</v>
      </c>
      <c r="D51" s="41">
        <f>D50+D31</f>
        <v>5548</v>
      </c>
      <c r="E51" s="41">
        <f>E50+E31</f>
        <v>20041</v>
      </c>
      <c r="F51" s="41">
        <f>F50+F31</f>
        <v>53369</v>
      </c>
      <c r="G51" s="41">
        <f>G50+G31</f>
        <v>25000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2011555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529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29125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39564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40093</v>
      </c>
      <c r="D62" s="130">
        <f>SUM(D57:D61)</f>
        <v>29125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2051648</v>
      </c>
      <c r="D63" s="22">
        <f>D56+D62</f>
        <v>29125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810912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283452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1094364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106383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224334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868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330717</v>
      </c>
      <c r="D78" s="130">
        <f>SUM(D72:D77)</f>
        <v>868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1425081</v>
      </c>
      <c r="D81" s="130">
        <f>SUM(D79:D80)+D78+D70</f>
        <v>868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10359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86923</v>
      </c>
      <c r="D88" s="95">
        <f>SUM('DOE25'!G153:G161)</f>
        <v>32558</v>
      </c>
      <c r="E88" s="95">
        <f>SUM('DOE25'!H153:H161)</f>
        <v>44027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86923</v>
      </c>
      <c r="D91" s="131">
        <f>SUM(D85:D90)</f>
        <v>32558</v>
      </c>
      <c r="E91" s="131">
        <f>SUM(E85:E90)</f>
        <v>54386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15456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15456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3563652</v>
      </c>
      <c r="D104" s="86">
        <f>D63+D81+D91+D103</f>
        <v>78007</v>
      </c>
      <c r="E104" s="86">
        <f>E63+E81+E91+E103</f>
        <v>54386</v>
      </c>
      <c r="F104" s="86">
        <f>F63+F81+F91+F103</f>
        <v>0</v>
      </c>
      <c r="G104" s="86">
        <f>G63+G81+G103</f>
        <v>25000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1291201</v>
      </c>
      <c r="D109" s="24" t="s">
        <v>289</v>
      </c>
      <c r="E109" s="95">
        <f>('DOE25'!L276)+('DOE25'!L295)+('DOE25'!L314)</f>
        <v>33249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644463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3341</v>
      </c>
      <c r="D112" s="24" t="s">
        <v>289</v>
      </c>
      <c r="E112" s="95">
        <f>+('DOE25'!L279)+('DOE25'!L298)+('DOE25'!L317)</f>
        <v>1361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1939005</v>
      </c>
      <c r="D115" s="86">
        <f>SUM(D109:D114)</f>
        <v>0</v>
      </c>
      <c r="E115" s="86">
        <f>SUM(E109:E114)</f>
        <v>34610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21659</v>
      </c>
      <c r="D118" s="24" t="s">
        <v>289</v>
      </c>
      <c r="E118" s="95">
        <f>+('DOE25'!L281)+('DOE25'!L300)+('DOE25'!L319)</f>
        <v>2270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97132</v>
      </c>
      <c r="D119" s="24" t="s">
        <v>289</v>
      </c>
      <c r="E119" s="95">
        <f>+('DOE25'!L282)+('DOE25'!L301)+('DOE25'!L320)</f>
        <v>16613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250268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160698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893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183963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157444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78007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871164</v>
      </c>
      <c r="D128" s="86">
        <f>SUM(D118:D127)</f>
        <v>78007</v>
      </c>
      <c r="E128" s="86">
        <f>SUM(E118:E127)</f>
        <v>19776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200000</v>
      </c>
      <c r="D130" s="24" t="s">
        <v>289</v>
      </c>
      <c r="E130" s="129">
        <f>'DOE25'!L336</f>
        <v>0</v>
      </c>
      <c r="F130" s="129">
        <f>SUM('DOE25'!L374:'DOE25'!L380)</f>
        <v>5754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389431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260437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15456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25000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890324</v>
      </c>
      <c r="D144" s="141">
        <f>SUM(D130:D143)</f>
        <v>0</v>
      </c>
      <c r="E144" s="141">
        <f>SUM(E130:E143)</f>
        <v>0</v>
      </c>
      <c r="F144" s="141">
        <f>SUM(F130:F143)</f>
        <v>5754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3700493</v>
      </c>
      <c r="D145" s="86">
        <f>(D115+D128+D144)</f>
        <v>78007</v>
      </c>
      <c r="E145" s="86">
        <f>(E115+E128+E144)</f>
        <v>54386</v>
      </c>
      <c r="F145" s="86">
        <f>(F115+F128+F144)</f>
        <v>5754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20</v>
      </c>
      <c r="E151" s="153">
        <f>'DOE25'!I490</f>
        <v>20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07/12</v>
      </c>
      <c r="C152" s="152" t="str">
        <f>'DOE25'!G491</f>
        <v>07/13</v>
      </c>
      <c r="D152" s="152" t="str">
        <f>'DOE25'!H491</f>
        <v>9/14</v>
      </c>
      <c r="E152" s="152" t="str">
        <f>'DOE25'!I491</f>
        <v>7/14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08/32</v>
      </c>
      <c r="C153" s="152" t="str">
        <f>'DOE25'!G492</f>
        <v>07/33</v>
      </c>
      <c r="D153" s="152" t="str">
        <f>'DOE25'!H492</f>
        <v>9/34</v>
      </c>
      <c r="E153" s="152" t="str">
        <f>'DOE25'!I492</f>
        <v>7/34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4571850</v>
      </c>
      <c r="C154" s="137">
        <f>'DOE25'!G493</f>
        <v>550000</v>
      </c>
      <c r="D154" s="137">
        <f>'DOE25'!H493</f>
        <v>738629</v>
      </c>
      <c r="E154" s="137">
        <f>'DOE25'!I493</f>
        <v>1800000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3.2</v>
      </c>
      <c r="C155" s="137">
        <f>'DOE25'!G494</f>
        <v>3.25</v>
      </c>
      <c r="D155" s="137">
        <f>'DOE25'!H494</f>
        <v>3.25</v>
      </c>
      <c r="E155" s="137">
        <f>'DOE25'!I494</f>
        <v>4.5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4110000</v>
      </c>
      <c r="C156" s="137">
        <f>'DOE25'!G495</f>
        <v>522500</v>
      </c>
      <c r="D156" s="137">
        <f>'DOE25'!H495</f>
        <v>738629</v>
      </c>
      <c r="E156" s="137">
        <f>'DOE25'!I495</f>
        <v>1800000</v>
      </c>
      <c r="F156" s="137">
        <f>'DOE25'!J495</f>
        <v>0</v>
      </c>
      <c r="G156" s="138">
        <f>SUM(B156:F156)</f>
        <v>7171129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230000</v>
      </c>
      <c r="C158" s="137">
        <f>'DOE25'!G497</f>
        <v>27500</v>
      </c>
      <c r="D158" s="137">
        <f>'DOE25'!H497</f>
        <v>36931.449999999997</v>
      </c>
      <c r="E158" s="137">
        <f>'DOE25'!I497</f>
        <v>95000</v>
      </c>
      <c r="F158" s="137">
        <f>'DOE25'!J497</f>
        <v>0</v>
      </c>
      <c r="G158" s="138">
        <f t="shared" si="0"/>
        <v>389431.45</v>
      </c>
    </row>
    <row r="159" spans="1:9" x14ac:dyDescent="0.2">
      <c r="A159" s="22" t="s">
        <v>35</v>
      </c>
      <c r="B159" s="137">
        <f>'DOE25'!F498</f>
        <v>3880000</v>
      </c>
      <c r="C159" s="137">
        <f>'DOE25'!G498</f>
        <v>495000</v>
      </c>
      <c r="D159" s="137">
        <f>'DOE25'!H498</f>
        <v>701697.55</v>
      </c>
      <c r="E159" s="137">
        <f>'DOE25'!I498</f>
        <v>1705000</v>
      </c>
      <c r="F159" s="137">
        <f>'DOE25'!J498</f>
        <v>0</v>
      </c>
      <c r="G159" s="138">
        <f t="shared" si="0"/>
        <v>6781697.5499999998</v>
      </c>
    </row>
    <row r="160" spans="1:9" x14ac:dyDescent="0.2">
      <c r="A160" s="22" t="s">
        <v>36</v>
      </c>
      <c r="B160" s="137">
        <f>'DOE25'!F499</f>
        <v>1163559</v>
      </c>
      <c r="C160" s="137">
        <f>'DOE25'!G499</f>
        <v>144843</v>
      </c>
      <c r="D160" s="137">
        <f>'DOE25'!H499</f>
        <v>228052</v>
      </c>
      <c r="E160" s="137">
        <f>'DOE25'!I499</f>
        <v>726750</v>
      </c>
      <c r="F160" s="137">
        <f>'DOE25'!J499</f>
        <v>0</v>
      </c>
      <c r="G160" s="138">
        <f t="shared" si="0"/>
        <v>2263204</v>
      </c>
    </row>
    <row r="161" spans="1:7" x14ac:dyDescent="0.2">
      <c r="A161" s="22" t="s">
        <v>37</v>
      </c>
      <c r="B161" s="137">
        <f>'DOE25'!F500</f>
        <v>5043559</v>
      </c>
      <c r="C161" s="137">
        <f>'DOE25'!G500</f>
        <v>639843</v>
      </c>
      <c r="D161" s="137">
        <f>'DOE25'!H500</f>
        <v>929749.55</v>
      </c>
      <c r="E161" s="137">
        <f>'DOE25'!I500</f>
        <v>2431750</v>
      </c>
      <c r="F161" s="137">
        <f>'DOE25'!J500</f>
        <v>0</v>
      </c>
      <c r="G161" s="138">
        <f t="shared" si="0"/>
        <v>9044901.5500000007</v>
      </c>
    </row>
    <row r="162" spans="1:7" x14ac:dyDescent="0.2">
      <c r="A162" s="22" t="s">
        <v>38</v>
      </c>
      <c r="B162" s="137">
        <f>'DOE25'!F501</f>
        <v>230000</v>
      </c>
      <c r="C162" s="137">
        <f>'DOE25'!G501</f>
        <v>27500</v>
      </c>
      <c r="D162" s="137">
        <f>'DOE25'!H501</f>
        <v>36931</v>
      </c>
      <c r="E162" s="137">
        <f>'DOE25'!I501</f>
        <v>95000</v>
      </c>
      <c r="F162" s="137">
        <f>'DOE25'!J501</f>
        <v>0</v>
      </c>
      <c r="G162" s="138">
        <f t="shared" si="0"/>
        <v>389431</v>
      </c>
    </row>
    <row r="163" spans="1:7" x14ac:dyDescent="0.2">
      <c r="A163" s="22" t="s">
        <v>39</v>
      </c>
      <c r="B163" s="137">
        <f>'DOE25'!F502</f>
        <v>131783.76</v>
      </c>
      <c r="C163" s="137">
        <f>'DOE25'!G502</f>
        <v>15637</v>
      </c>
      <c r="D163" s="137">
        <f>'DOE25'!H502</f>
        <v>22805</v>
      </c>
      <c r="E163" s="137">
        <f>'DOE25'!I502</f>
        <v>76725</v>
      </c>
      <c r="F163" s="137">
        <f>'DOE25'!J502</f>
        <v>0</v>
      </c>
      <c r="G163" s="138">
        <f t="shared" si="0"/>
        <v>246950.76</v>
      </c>
    </row>
    <row r="164" spans="1:7" x14ac:dyDescent="0.2">
      <c r="A164" s="22" t="s">
        <v>246</v>
      </c>
      <c r="B164" s="137">
        <f>'DOE25'!F503</f>
        <v>361783.76</v>
      </c>
      <c r="C164" s="137">
        <f>'DOE25'!G503</f>
        <v>43137</v>
      </c>
      <c r="D164" s="137">
        <f>'DOE25'!H503</f>
        <v>59736</v>
      </c>
      <c r="E164" s="137">
        <f>'DOE25'!I503</f>
        <v>171725</v>
      </c>
      <c r="F164" s="137">
        <f>'DOE25'!J503</f>
        <v>0</v>
      </c>
      <c r="G164" s="138">
        <f t="shared" si="0"/>
        <v>636381.76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Unity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13773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13773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1324450</v>
      </c>
      <c r="D10" s="182">
        <f>ROUND((C10/$C$28)*100,1)</f>
        <v>41.7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644463</v>
      </c>
      <c r="D11" s="182">
        <f>ROUND((C11/$C$28)*100,1)</f>
        <v>20.3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4702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23929</v>
      </c>
      <c r="D15" s="182">
        <f t="shared" ref="D15:D27" si="0">ROUND((C15/$C$28)*100,1)</f>
        <v>0.8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113745</v>
      </c>
      <c r="D16" s="182">
        <f t="shared" si="0"/>
        <v>3.6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250268</v>
      </c>
      <c r="D17" s="182">
        <f t="shared" si="0"/>
        <v>7.9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160698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893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183963</v>
      </c>
      <c r="D20" s="182">
        <f t="shared" si="0"/>
        <v>5.8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157444</v>
      </c>
      <c r="D21" s="182">
        <f t="shared" si="0"/>
        <v>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260437</v>
      </c>
      <c r="D25" s="182">
        <f t="shared" si="0"/>
        <v>8.1999999999999993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48882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3173874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205754</v>
      </c>
    </row>
    <row r="30" spans="1:4" x14ac:dyDescent="0.2">
      <c r="B30" s="187" t="s">
        <v>729</v>
      </c>
      <c r="C30" s="180">
        <f>SUM(C28:C29)</f>
        <v>3379628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389431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2011555</v>
      </c>
      <c r="D35" s="182">
        <f t="shared" ref="D35:D40" si="1">ROUND((C35/$C$41)*100,1)</f>
        <v>55.1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40093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1094364</v>
      </c>
      <c r="D37" s="182">
        <f t="shared" si="1"/>
        <v>30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331585</v>
      </c>
      <c r="D38" s="182">
        <f t="shared" si="1"/>
        <v>9.1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173867</v>
      </c>
      <c r="D39" s="182">
        <f t="shared" si="1"/>
        <v>4.8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3651464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B13" sqref="B1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Unity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19</v>
      </c>
      <c r="B4" s="219">
        <v>6</v>
      </c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19</v>
      </c>
      <c r="B5" s="219">
        <v>3</v>
      </c>
      <c r="C5" s="285" t="s">
        <v>912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19</v>
      </c>
      <c r="B6" s="219">
        <v>6</v>
      </c>
      <c r="C6" s="285" t="s">
        <v>914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2016-10-27T16:19:09Z</cp:lastPrinted>
  <dcterms:created xsi:type="dcterms:W3CDTF">1997-12-04T19:04:30Z</dcterms:created>
  <dcterms:modified xsi:type="dcterms:W3CDTF">2016-10-27T16:19:14Z</dcterms:modified>
</cp:coreProperties>
</file>