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90" windowWidth="12735" windowHeight="642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110" i="1" l="1"/>
  <c r="D9" i="13" l="1"/>
  <c r="C37" i="12" l="1"/>
  <c r="C19" i="12"/>
  <c r="C10" i="12"/>
  <c r="B10" i="12"/>
  <c r="C20" i="12"/>
  <c r="C21" i="12"/>
  <c r="B37" i="12"/>
  <c r="B20" i="12"/>
  <c r="B21" i="12"/>
  <c r="B19" i="12"/>
  <c r="B12" i="12"/>
  <c r="G22" i="1" l="1"/>
  <c r="G611" i="1" l="1"/>
  <c r="F611" i="1"/>
  <c r="H604" i="1" l="1"/>
  <c r="H595" i="1"/>
  <c r="H591" i="1" s="1"/>
  <c r="H592" i="1"/>
  <c r="G541" i="1" l="1"/>
  <c r="J472" i="1" l="1"/>
  <c r="G468" i="1" l="1"/>
  <c r="G459" i="1"/>
  <c r="F459" i="1"/>
  <c r="G440" i="1" l="1"/>
  <c r="F440" i="1"/>
  <c r="H415" i="1" l="1"/>
  <c r="H358" i="1" l="1"/>
  <c r="H282" i="1"/>
  <c r="K266" i="1"/>
  <c r="H198" i="1"/>
  <c r="G208" i="1"/>
  <c r="G205" i="1"/>
  <c r="G203" i="1"/>
  <c r="I202" i="1" l="1"/>
  <c r="H204" i="1" l="1"/>
  <c r="H203" i="1"/>
  <c r="H202" i="1"/>
  <c r="G207" i="1"/>
  <c r="G204" i="1"/>
  <c r="G202" i="1"/>
  <c r="G200" i="1"/>
  <c r="G198" i="1"/>
  <c r="G197" i="1"/>
  <c r="F202" i="1"/>
  <c r="F197" i="1" l="1"/>
  <c r="J179" i="1"/>
  <c r="H155" i="1" l="1"/>
  <c r="H154" i="1"/>
  <c r="F29" i="1"/>
  <c r="F9" i="1"/>
  <c r="C45" i="2" l="1"/>
  <c r="G51" i="1"/>
  <c r="C37" i="10" l="1"/>
  <c r="F40" i="2" l="1"/>
  <c r="D39" i="2"/>
  <c r="D50" i="2" s="1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E8" i="13" s="1"/>
  <c r="C8" i="13" s="1"/>
  <c r="L204" i="1"/>
  <c r="L222" i="1"/>
  <c r="L240" i="1"/>
  <c r="D39" i="13"/>
  <c r="F13" i="13"/>
  <c r="G13" i="13"/>
  <c r="L206" i="1"/>
  <c r="L224" i="1"/>
  <c r="L242" i="1"/>
  <c r="F16" i="13"/>
  <c r="G16" i="13"/>
  <c r="L209" i="1"/>
  <c r="E16" i="13" s="1"/>
  <c r="C16" i="13" s="1"/>
  <c r="L227" i="1"/>
  <c r="L245" i="1"/>
  <c r="F5" i="13"/>
  <c r="G5" i="13"/>
  <c r="L197" i="1"/>
  <c r="L198" i="1"/>
  <c r="L199" i="1"/>
  <c r="L200" i="1"/>
  <c r="C13" i="10" s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C121" i="2" s="1"/>
  <c r="L223" i="1"/>
  <c r="L241" i="1"/>
  <c r="F14" i="13"/>
  <c r="D14" i="13" s="1"/>
  <c r="C14" i="13" s="1"/>
  <c r="G14" i="13"/>
  <c r="L207" i="1"/>
  <c r="L225" i="1"/>
  <c r="L243" i="1"/>
  <c r="F15" i="13"/>
  <c r="G15" i="13"/>
  <c r="L208" i="1"/>
  <c r="C21" i="10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D29" i="13" s="1"/>
  <c r="C29" i="13" s="1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E118" i="2" s="1"/>
  <c r="L282" i="1"/>
  <c r="E119" i="2" s="1"/>
  <c r="L283" i="1"/>
  <c r="L284" i="1"/>
  <c r="L285" i="1"/>
  <c r="E122" i="2" s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A40" i="12" s="1"/>
  <c r="B27" i="12"/>
  <c r="C27" i="12"/>
  <c r="B31" i="12"/>
  <c r="C31" i="12"/>
  <c r="B9" i="12"/>
  <c r="B13" i="12"/>
  <c r="C9" i="12"/>
  <c r="C13" i="12"/>
  <c r="A13" i="12" s="1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F94" i="1"/>
  <c r="C58" i="2" s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I147" i="1"/>
  <c r="I162" i="1"/>
  <c r="C11" i="10"/>
  <c r="C12" i="10"/>
  <c r="C17" i="10"/>
  <c r="C18" i="10"/>
  <c r="C20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F661" i="1"/>
  <c r="G661" i="1"/>
  <c r="H661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F552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J552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D56" i="2"/>
  <c r="E56" i="2"/>
  <c r="F56" i="2"/>
  <c r="C57" i="2"/>
  <c r="E57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E115" i="2" s="1"/>
  <c r="C110" i="2"/>
  <c r="E110" i="2"/>
  <c r="C111" i="2"/>
  <c r="E111" i="2"/>
  <c r="E112" i="2"/>
  <c r="C113" i="2"/>
  <c r="E113" i="2"/>
  <c r="C114" i="2"/>
  <c r="E114" i="2"/>
  <c r="D115" i="2"/>
  <c r="F115" i="2"/>
  <c r="G115" i="2"/>
  <c r="C120" i="2"/>
  <c r="E120" i="2"/>
  <c r="E121" i="2"/>
  <c r="C122" i="2"/>
  <c r="C123" i="2"/>
  <c r="E123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I19" i="1"/>
  <c r="F32" i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I211" i="1"/>
  <c r="J211" i="1"/>
  <c r="J257" i="1" s="1"/>
  <c r="J271" i="1" s="1"/>
  <c r="K211" i="1"/>
  <c r="K257" i="1" s="1"/>
  <c r="K271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F338" i="1" s="1"/>
  <c r="F352" i="1" s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J645" i="1" s="1"/>
  <c r="H401" i="1"/>
  <c r="I401" i="1"/>
  <c r="F407" i="1"/>
  <c r="G407" i="1"/>
  <c r="H407" i="1"/>
  <c r="I407" i="1"/>
  <c r="F408" i="1"/>
  <c r="H408" i="1"/>
  <c r="I408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I446" i="1"/>
  <c r="G642" i="1" s="1"/>
  <c r="F452" i="1"/>
  <c r="G452" i="1"/>
  <c r="H452" i="1"/>
  <c r="I452" i="1"/>
  <c r="F460" i="1"/>
  <c r="G460" i="1"/>
  <c r="G461" i="1" s="1"/>
  <c r="H640" i="1" s="1"/>
  <c r="H460" i="1"/>
  <c r="I460" i="1"/>
  <c r="I461" i="1" s="1"/>
  <c r="H642" i="1" s="1"/>
  <c r="F461" i="1"/>
  <c r="H461" i="1"/>
  <c r="F470" i="1"/>
  <c r="G470" i="1"/>
  <c r="G476" i="1" s="1"/>
  <c r="H623" i="1" s="1"/>
  <c r="H470" i="1"/>
  <c r="I470" i="1"/>
  <c r="J470" i="1"/>
  <c r="F474" i="1"/>
  <c r="G474" i="1"/>
  <c r="H474" i="1"/>
  <c r="H476" i="1" s="1"/>
  <c r="H624" i="1" s="1"/>
  <c r="J624" i="1" s="1"/>
  <c r="I474" i="1"/>
  <c r="J474" i="1"/>
  <c r="J476" i="1" s="1"/>
  <c r="H626" i="1" s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G545" i="1" s="1"/>
  <c r="H524" i="1"/>
  <c r="H545" i="1" s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9" i="1"/>
  <c r="G620" i="1"/>
  <c r="G623" i="1"/>
  <c r="G624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H639" i="1"/>
  <c r="G641" i="1"/>
  <c r="H641" i="1"/>
  <c r="G643" i="1"/>
  <c r="H643" i="1"/>
  <c r="G644" i="1"/>
  <c r="H644" i="1"/>
  <c r="G645" i="1"/>
  <c r="G650" i="1"/>
  <c r="G651" i="1"/>
  <c r="G652" i="1"/>
  <c r="H652" i="1"/>
  <c r="G653" i="1"/>
  <c r="H653" i="1"/>
  <c r="G654" i="1"/>
  <c r="H654" i="1"/>
  <c r="H655" i="1"/>
  <c r="F192" i="1"/>
  <c r="L256" i="1"/>
  <c r="I257" i="1"/>
  <c r="I271" i="1" s="1"/>
  <c r="G164" i="2"/>
  <c r="C26" i="10"/>
  <c r="L328" i="1"/>
  <c r="L351" i="1"/>
  <c r="A31" i="12"/>
  <c r="D12" i="13"/>
  <c r="C12" i="13" s="1"/>
  <c r="D18" i="13"/>
  <c r="C18" i="13" s="1"/>
  <c r="D17" i="13"/>
  <c r="C17" i="13" s="1"/>
  <c r="C91" i="2"/>
  <c r="F78" i="2"/>
  <c r="F81" i="2" s="1"/>
  <c r="C78" i="2"/>
  <c r="G157" i="2"/>
  <c r="F18" i="2"/>
  <c r="G161" i="2"/>
  <c r="G156" i="2"/>
  <c r="E103" i="2"/>
  <c r="D91" i="2"/>
  <c r="E62" i="2"/>
  <c r="E63" i="2" s="1"/>
  <c r="E31" i="2"/>
  <c r="G62" i="2"/>
  <c r="D19" i="13"/>
  <c r="C19" i="13" s="1"/>
  <c r="E13" i="13"/>
  <c r="C13" i="13" s="1"/>
  <c r="E78" i="2"/>
  <c r="E81" i="2" s="1"/>
  <c r="L427" i="1"/>
  <c r="H112" i="1"/>
  <c r="J641" i="1"/>
  <c r="K605" i="1"/>
  <c r="G648" i="1" s="1"/>
  <c r="J571" i="1"/>
  <c r="K571" i="1"/>
  <c r="L433" i="1"/>
  <c r="D81" i="2"/>
  <c r="I169" i="1"/>
  <c r="H169" i="1"/>
  <c r="J644" i="1"/>
  <c r="J643" i="1"/>
  <c r="I476" i="1"/>
  <c r="H625" i="1" s="1"/>
  <c r="J625" i="1" s="1"/>
  <c r="J140" i="1"/>
  <c r="F571" i="1"/>
  <c r="I552" i="1"/>
  <c r="K550" i="1"/>
  <c r="G22" i="2"/>
  <c r="K598" i="1"/>
  <c r="G647" i="1" s="1"/>
  <c r="K545" i="1"/>
  <c r="H552" i="1"/>
  <c r="C29" i="10"/>
  <c r="H140" i="1"/>
  <c r="L401" i="1"/>
  <c r="C139" i="2" s="1"/>
  <c r="L393" i="1"/>
  <c r="F22" i="13"/>
  <c r="H25" i="13"/>
  <c r="C25" i="13" s="1"/>
  <c r="J651" i="1"/>
  <c r="H571" i="1"/>
  <c r="L560" i="1"/>
  <c r="J545" i="1"/>
  <c r="H338" i="1"/>
  <c r="H352" i="1" s="1"/>
  <c r="G192" i="1"/>
  <c r="H192" i="1"/>
  <c r="C35" i="10"/>
  <c r="L309" i="1"/>
  <c r="L570" i="1"/>
  <c r="I571" i="1"/>
  <c r="I545" i="1"/>
  <c r="J636" i="1"/>
  <c r="G36" i="2"/>
  <c r="L565" i="1"/>
  <c r="K551" i="1"/>
  <c r="C22" i="13"/>
  <c r="C138" i="2"/>
  <c r="H33" i="13"/>
  <c r="C70" i="2" l="1"/>
  <c r="C81" i="2" s="1"/>
  <c r="D18" i="2"/>
  <c r="D31" i="2"/>
  <c r="D51" i="2" s="1"/>
  <c r="J623" i="1"/>
  <c r="L544" i="1"/>
  <c r="K549" i="1"/>
  <c r="K552" i="1" s="1"/>
  <c r="L524" i="1"/>
  <c r="F476" i="1"/>
  <c r="H622" i="1" s="1"/>
  <c r="J640" i="1"/>
  <c r="J639" i="1"/>
  <c r="J634" i="1"/>
  <c r="I661" i="1"/>
  <c r="K338" i="1"/>
  <c r="K352" i="1" s="1"/>
  <c r="C19" i="10"/>
  <c r="E128" i="2"/>
  <c r="E145" i="2" s="1"/>
  <c r="C16" i="10"/>
  <c r="L290" i="1"/>
  <c r="D31" i="13" s="1"/>
  <c r="C31" i="13" s="1"/>
  <c r="C15" i="10"/>
  <c r="J655" i="1"/>
  <c r="H257" i="1"/>
  <c r="H271" i="1" s="1"/>
  <c r="H660" i="1"/>
  <c r="H664" i="1" s="1"/>
  <c r="H667" i="1" s="1"/>
  <c r="C10" i="10"/>
  <c r="D15" i="13"/>
  <c r="C15" i="13" s="1"/>
  <c r="G617" i="1"/>
  <c r="F50" i="1"/>
  <c r="C118" i="2"/>
  <c r="C119" i="2"/>
  <c r="D6" i="13"/>
  <c r="C6" i="13" s="1"/>
  <c r="G649" i="1"/>
  <c r="J649" i="1" s="1"/>
  <c r="H647" i="1"/>
  <c r="J647" i="1" s="1"/>
  <c r="C124" i="2"/>
  <c r="F662" i="1"/>
  <c r="I662" i="1" s="1"/>
  <c r="E33" i="13"/>
  <c r="D35" i="13" s="1"/>
  <c r="D7" i="13"/>
  <c r="C7" i="13" s="1"/>
  <c r="L211" i="1"/>
  <c r="L257" i="1" s="1"/>
  <c r="L271" i="1" s="1"/>
  <c r="G632" i="1" s="1"/>
  <c r="J632" i="1" s="1"/>
  <c r="D5" i="13"/>
  <c r="C5" i="13" s="1"/>
  <c r="C112" i="2"/>
  <c r="C115" i="2" s="1"/>
  <c r="C62" i="2"/>
  <c r="C63" i="2" s="1"/>
  <c r="F112" i="1"/>
  <c r="C36" i="10" s="1"/>
  <c r="H52" i="1"/>
  <c r="H619" i="1" s="1"/>
  <c r="J619" i="1" s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F31" i="2"/>
  <c r="C31" i="2"/>
  <c r="E18" i="2"/>
  <c r="E144" i="2"/>
  <c r="F50" i="2"/>
  <c r="F51" i="2" s="1"/>
  <c r="L338" i="1"/>
  <c r="L352" i="1" s="1"/>
  <c r="G633" i="1" s="1"/>
  <c r="J633" i="1" s="1"/>
  <c r="C24" i="10"/>
  <c r="G660" i="1"/>
  <c r="G664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G63" i="2"/>
  <c r="J618" i="1"/>
  <c r="G667" i="1"/>
  <c r="G672" i="1"/>
  <c r="C5" i="10" s="1"/>
  <c r="G42" i="2"/>
  <c r="J51" i="1"/>
  <c r="G16" i="2"/>
  <c r="J19" i="1"/>
  <c r="G621" i="1" s="1"/>
  <c r="F33" i="13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G635" i="1"/>
  <c r="J635" i="1" s="1"/>
  <c r="F193" i="1" l="1"/>
  <c r="G627" i="1" s="1"/>
  <c r="J627" i="1" s="1"/>
  <c r="L545" i="1"/>
  <c r="H646" i="1"/>
  <c r="C28" i="10"/>
  <c r="D22" i="10" s="1"/>
  <c r="F51" i="1"/>
  <c r="C49" i="2"/>
  <c r="C50" i="2" s="1"/>
  <c r="C128" i="2"/>
  <c r="C145" i="2" s="1"/>
  <c r="F660" i="1"/>
  <c r="G104" i="2"/>
  <c r="H672" i="1"/>
  <c r="C6" i="10" s="1"/>
  <c r="C104" i="2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3" i="10" l="1"/>
  <c r="C30" i="10"/>
  <c r="D10" i="10"/>
  <c r="D18" i="10"/>
  <c r="D12" i="10"/>
  <c r="D26" i="10"/>
  <c r="D16" i="10"/>
  <c r="D27" i="10"/>
  <c r="D17" i="10"/>
  <c r="D24" i="10"/>
  <c r="D20" i="10"/>
  <c r="D15" i="10"/>
  <c r="D25" i="10"/>
  <c r="D19" i="10"/>
  <c r="D13" i="10"/>
  <c r="D11" i="10"/>
  <c r="D21" i="10"/>
  <c r="G622" i="1"/>
  <c r="J622" i="1" s="1"/>
  <c r="F52" i="1"/>
  <c r="H617" i="1" s="1"/>
  <c r="J617" i="1" s="1"/>
  <c r="F664" i="1"/>
  <c r="I660" i="1"/>
  <c r="I664" i="1" s="1"/>
  <c r="I672" i="1" s="1"/>
  <c r="C7" i="10" s="1"/>
  <c r="H656" i="1"/>
  <c r="C41" i="10"/>
  <c r="D38" i="10" s="1"/>
  <c r="D28" i="10" l="1"/>
  <c r="I667" i="1"/>
  <c r="F667" i="1"/>
  <c r="F672" i="1"/>
  <c r="C4" i="10" s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<sst xmlns="http://schemas.openxmlformats.org/spreadsheetml/2006/main" count="3957" uniqueCount="915">
  <si>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</si>
  <si>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</si>
  <si>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</si>
  <si>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</si>
  <si>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</si>
  <si>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</si>
  <si>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</si>
  <si>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</si>
  <si>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</si>
  <si>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</si>
  <si>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</si>
  <si>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</si>
  <si>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</si>
  <si>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</si>
  <si>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</si>
  <si>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</si>
  <si>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</si>
  <si>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</si>
  <si>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</si>
  <si>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</si>
  <si>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</si>
  <si>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</si>
  <si>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</si>
  <si>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</si>
  <si>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</si>
  <si>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</si>
  <si>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</si>
  <si>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</si>
  <si>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</si>
  <si>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</si>
  <si>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</si>
  <si>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</si>
  <si>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</si>
  <si>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</si>
  <si>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</si>
  <si>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</si>
  <si>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</si>
  <si>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</si>
  <si>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</si>
  <si>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</si>
  <si>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</si>
  <si>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</si>
  <si>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</si>
  <si>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</si>
  <si>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</si>
  <si>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</si>
  <si>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</si>
  <si>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</si>
  <si>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</si>
  <si>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</si>
  <si>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</si>
  <si>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</si>
  <si>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</si>
  <si>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</si>
  <si>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</si>
  <si>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</si>
  <si>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</si>
  <si>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</si>
  <si>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</si>
  <si>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</si>
  <si>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</si>
  <si>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</si>
  <si>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</si>
  <si>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</si>
  <si>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</si>
  <si>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</si>
  <si>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</si>
  <si>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</si>
  <si>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</si>
  <si>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</si>
  <si>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</si>
  <si>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</si>
  <si>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</si>
  <si>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</si>
  <si>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</si>
  <si>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</si>
  <si>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</si>
  <si>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</si>
  <si>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</si>
  <si>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</si>
  <si>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</si>
  <si>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</si>
  <si>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</si>
  <si>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</si>
  <si>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</si>
  <si>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</si>
  <si>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</si>
  <si>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</si>
  <si>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</si>
  <si>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</si>
  <si>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</si>
  <si>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</si>
  <si>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</si>
  <si>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</si>
  <si>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</si>
  <si>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</si>
  <si>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</si>
  <si>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</si>
  <si>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</si>
  <si>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</si>
  <si>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</si>
  <si>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</si>
  <si>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</si>
  <si>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</si>
  <si>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</si>
  <si>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</si>
  <si>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</si>
  <si>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</si>
  <si>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</si>
  <si>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</si>
  <si>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</si>
  <si>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</si>
  <si>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</si>
  <si>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</si>
  <si>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</si>
  <si>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</si>
  <si>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</si>
  <si>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</si>
  <si>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</si>
  <si>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</si>
  <si>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</si>
  <si>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</si>
  <si>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</si>
  <si>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</si>
  <si>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</si>
  <si>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</si>
  <si>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</si>
  <si>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</si>
  <si>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</si>
  <si>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</si>
  <si>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</si>
  <si>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</si>
  <si>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</si>
  <si>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</si>
  <si>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</si>
  <si>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</si>
  <si>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</si>
  <si>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</si>
  <si>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</si>
  <si>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</si>
  <si>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</si>
  <si>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</si>
  <si>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</si>
  <si>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</si>
  <si>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</si>
  <si>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</si>
  <si>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</si>
  <si>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</si>
  <si>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</si>
  <si>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</si>
  <si>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</si>
  <si>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</si>
  <si>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</si>
  <si>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</si>
  <si>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</si>
  <si>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</si>
  <si>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</si>
  <si>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</si>
  <si>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</si>
  <si>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</si>
  <si>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</si>
  <si>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</si>
  <si>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</si>
  <si>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</si>
  <si>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</si>
  <si>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</si>
  <si>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</si>
  <si>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</si>
  <si>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</si>
  <si>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</si>
  <si>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</si>
  <si>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</si>
  <si>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</si>
  <si>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</si>
  <si>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</si>
  <si>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</si>
  <si>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</si>
  <si>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</si>
  <si>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</si>
  <si>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</si>
  <si>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</si>
  <si>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</si>
  <si>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</si>
  <si>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</si>
  <si>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</si>
  <si>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</si>
  <si>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</si>
  <si>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</si>
  <si>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</si>
  <si>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</si>
  <si>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</si>
  <si>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</si>
  <si>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</si>
  <si>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</si>
  <si>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</si>
  <si>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</si>
  <si>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</si>
  <si>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</si>
  <si>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</si>
  <si>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</si>
  <si>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</si>
  <si>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</si>
  <si>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</si>
  <si>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</si>
  <si>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</si>
  <si>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</si>
  <si>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</si>
  <si>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</si>
  <si>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</si>
  <si>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</si>
  <si>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</si>
  <si>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</si>
  <si>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</si>
  <si>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</si>
  <si>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</si>
  <si>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</si>
  <si>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</si>
  <si>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</si>
  <si>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</si>
  <si>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</si>
  <si>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</si>
  <si>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</si>
  <si>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</si>
  <si>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</si>
  <si>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</si>
  <si>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</si>
  <si>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</si>
  <si>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</si>
  <si>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</si>
  <si>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</si>
  <si>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</si>
  <si>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</si>
  <si>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</si>
  <si>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</si>
  <si>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</si>
  <si>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</si>
  <si>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</si>
  <si>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</si>
  <si>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</si>
  <si>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</si>
  <si>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</si>
  <si>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</si>
  <si>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</si>
  <si>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</si>
  <si>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</si>
  <si>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</si>
  <si>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</si>
  <si>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</si>
  <si>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</si>
  <si>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</si>
  <si>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</si>
  <si>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</si>
  <si>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</si>
  <si>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</si>
  <si>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</si>
  <si>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</si>
  <si>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</si>
  <si>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</si>
  <si>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</si>
  <si>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</si>
  <si>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</si>
  <si>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</si>
  <si>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</si>
  <si>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</si>
  <si>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</si>
  <si>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</si>
  <si>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</si>
  <si>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</si>
  <si>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</si>
  <si>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</si>
  <si>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</si>
  <si>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</si>
  <si>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</si>
  <si>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</si>
  <si>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</si>
  <si>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</si>
  <si>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</si>
  <si>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</si>
  <si>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</si>
  <si>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</si>
  <si>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</si>
  <si>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</si>
  <si>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</si>
  <si>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</si>
  <si>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</si>
  <si>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</si>
  <si>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</si>
  <si>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</si>
  <si>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</si>
  <si>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</si>
  <si>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</si>
  <si>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</si>
  <si>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</si>
  <si>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</si>
  <si>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</si>
  <si>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</si>
  <si>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</si>
  <si>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</si>
  <si>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</si>
  <si>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</si>
  <si>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</si>
  <si>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</si>
  <si>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</si>
  <si>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</si>
  <si>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</si>
  <si>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</si>
  <si>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</si>
  <si>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</si>
  <si>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</si>
  <si>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</si>
  <si>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</si>
  <si>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</si>
  <si>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</si>
  <si>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</si>
  <si>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</si>
  <si>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</si>
  <si>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</si>
  <si>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</si>
  <si>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</si>
  <si>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</si>
  <si>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</si>
  <si>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</si>
  <si>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</si>
  <si>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</si>
  <si>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</si>
  <si>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</si>
  <si>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</si>
  <si>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</si>
  <si>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</si>
  <si>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</si>
  <si>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</si>
  <si>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</si>
  <si>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</si>
  <si>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</si>
  <si>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</si>
  <si>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</si>
  <si>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</si>
  <si>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</si>
  <si>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</si>
  <si>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</si>
  <si>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</si>
  <si>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</si>
  <si>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</si>
  <si>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</si>
  <si>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</si>
  <si>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</si>
  <si>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</si>
  <si>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</si>
  <si>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</si>
  <si>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</si>
  <si>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</si>
  <si>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</si>
  <si>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</si>
  <si>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</si>
  <si>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</si>
  <si>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</si>
  <si>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</si>
  <si>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</si>
  <si>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</si>
  <si>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</si>
  <si>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</si>
  <si>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</si>
  <si>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</si>
  <si>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</si>
  <si>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</si>
  <si>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</si>
  <si>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</si>
  <si>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</si>
  <si>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</si>
  <si>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</si>
  <si>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</si>
  <si>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</si>
  <si>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</si>
  <si>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</si>
  <si>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</si>
  <si>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</si>
  <si>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</si>
  <si>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</si>
  <si>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</si>
  <si>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</si>
  <si>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</si>
  <si>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</si>
  <si>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</si>
  <si>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</si>
  <si>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</si>
  <si>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</si>
  <si>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</si>
  <si>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</si>
  <si>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</si>
  <si>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</si>
  <si>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</si>
  <si>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</si>
  <si>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</si>
  <si>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</si>
  <si>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</si>
  <si>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</si>
  <si>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</si>
  <si>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</si>
  <si>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</si>
  <si>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</si>
  <si>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</si>
  <si>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</si>
  <si>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</si>
  <si>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</si>
  <si>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</si>
  <si>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</si>
  <si>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</si>
  <si>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</si>
  <si>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</si>
  <si>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</si>
  <si>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</si>
  <si>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</si>
  <si>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</si>
  <si>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</si>
  <si>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</si>
  <si>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</si>
  <si>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</si>
  <si>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</si>
  <si>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</si>
  <si>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</si>
  <si>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</si>
  <si>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</si>
  <si>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</si>
  <si>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</si>
  <si>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</si>
  <si>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</si>
  <si>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</si>
  <si>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</si>
  <si>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</si>
  <si>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</si>
  <si>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</si>
  <si>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</si>
  <si>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</si>
  <si>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</si>
  <si>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</si>
  <si>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</si>
  <si>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</si>
  <si>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</si>
  <si>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</si>
  <si>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</si>
  <si>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</si>
  <si>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</si>
  <si>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</si>
  <si>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</si>
  <si>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</si>
  <si>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</si>
  <si>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</si>
  <si>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</si>
  <si>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</si>
  <si>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</si>
  <si>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</si>
  <si>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</si>
  <si>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</si>
  <si>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</si>
  <si>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</si>
  <si>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</si>
  <si>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</si>
  <si>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</si>
  <si>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</si>
  <si>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</si>
  <si>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</si>
  <si>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</si>
  <si>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</si>
  <si>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</si>
  <si>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</si>
  <si>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</si>
  <si>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</si>
  <si>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</si>
  <si>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</si>
  <si>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</si>
  <si>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</si>
  <si>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</si>
  <si>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</si>
  <si>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</si>
  <si>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</si>
  <si>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</si>
  <si>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</si>
  <si>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</si>
  <si>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</si>
  <si>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</si>
  <si>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</si>
  <si>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</si>
  <si>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</si>
  <si>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</si>
  <si>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</si>
  <si>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</si>
  <si>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</si>
  <si>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</si>
  <si>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</si>
  <si>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</si>
  <si>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</si>
  <si>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</si>
  <si>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</si>
  <si>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</si>
  <si>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</si>
  <si>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</si>
  <si>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</si>
  <si>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</si>
  <si>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</si>
  <si>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</si>
  <si>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</si>
  <si>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</si>
  <si>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</si>
  <si>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</si>
  <si>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</si>
  <si>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</si>
  <si>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</si>
  <si>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</si>
  <si>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</si>
  <si>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</si>
  <si>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</si>
  <si>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</si>
  <si>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</si>
  <si>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</si>
  <si>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</si>
  <si>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</si>
  <si>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</si>
  <si>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</si>
  <si>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</si>
  <si>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</si>
  <si>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</si>
  <si>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</si>
  <si>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</si>
  <si>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</si>
  <si>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</si>
  <si>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</si>
  <si>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</si>
  <si>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</si>
  <si>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</si>
  <si>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</si>
  <si>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</si>
  <si>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</si>
  <si>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</si>
  <si>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</si>
  <si>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</si>
  <si>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</si>
  <si>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</si>
  <si>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</si>
  <si>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</si>
  <si>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</si>
  <si>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</si>
  <si>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</si>
  <si>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</si>
  <si>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</si>
  <si>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</si>
  <si>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</si>
  <si>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</si>
  <si>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</si>
  <si>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</si>
  <si>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</si>
  <si>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</si>
  <si>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</si>
  <si>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</si>
  <si>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</si>
  <si>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</si>
  <si>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</si>
  <si>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</si>
  <si>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</si>
  <si>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</si>
  <si>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</si>
  <si>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</si>
  <si>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</si>
  <si>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</si>
  <si>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</si>
  <si>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</si>
  <si>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</si>
  <si>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</si>
  <si>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</si>
  <si>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</si>
  <si>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</si>
  <si>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</si>
  <si>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</si>
  <si>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</si>
  <si>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</si>
  <si>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</si>
  <si>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</si>
  <si>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</si>
  <si>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</si>
  <si>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</si>
  <si>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</si>
  <si>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</si>
  <si>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</si>
  <si>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</si>
  <si>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</si>
  <si>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</si>
  <si>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</si>
  <si>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</si>
  <si>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</si>
  <si>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</si>
  <si>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</si>
  <si>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</si>
  <si>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</si>
  <si>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</si>
  <si>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</si>
  <si>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</si>
  <si>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</si>
  <si>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</si>
  <si>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</si>
  <si>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</si>
  <si>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</si>
  <si>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</si>
  <si>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</si>
  <si>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</si>
  <si>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</si>
  <si>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</si>
  <si>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</si>
  <si>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</si>
  <si>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</si>
  <si>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</si>
  <si>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</si>
  <si>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</si>
  <si>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</si>
  <si>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</si>
  <si>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</si>
  <si>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</si>
  <si>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</si>
  <si>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</si>
  <si>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</si>
  <si>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</si>
  <si>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</si>
  <si>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</si>
  <si>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</si>
  <si>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</si>
  <si>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</si>
  <si>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</si>
  <si>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</si>
  <si>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</si>
  <si>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</si>
  <si>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</si>
  <si>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</si>
  <si>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</si>
  <si>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</si>
  <si>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</si>
  <si>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</si>
  <si>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</si>
  <si>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</si>
  <si>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</si>
  <si>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</si>
  <si>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</si>
  <si>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</si>
  <si>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</si>
  <si>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</si>
  <si>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</si>
  <si>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</si>
  <si>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</si>
  <si>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</si>
  <si>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</si>
  <si>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</si>
  <si>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</si>
  <si>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</si>
  <si>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</si>
  <si>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</si>
  <si>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</si>
  <si>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</si>
  <si>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</si>
  <si>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</si>
  <si>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</si>
  <si>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</si>
  <si>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</si>
  <si>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</si>
  <si>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</si>
  <si>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</si>
  <si>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</si>
  <si>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</si>
  <si>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</si>
  <si>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</si>
  <si>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</si>
  <si>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</si>
  <si>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</si>
  <si>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</si>
  <si>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</si>
  <si>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</si>
  <si>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</si>
  <si>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</si>
  <si>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</si>
  <si>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</si>
  <si>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</si>
  <si>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</si>
  <si>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</si>
  <si>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</si>
  <si>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</si>
  <si>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</si>
  <si>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</si>
  <si>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</si>
  <si>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</si>
  <si>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</si>
  <si>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</si>
  <si>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</si>
  <si>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</si>
  <si>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</si>
  <si>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</si>
  <si>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</si>
  <si>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</si>
  <si>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</si>
  <si>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</si>
  <si>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</si>
  <si>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</si>
  <si>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</si>
  <si>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</si>
  <si>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</si>
  <si>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</si>
  <si>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</si>
  <si>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</si>
  <si>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</si>
  <si>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</si>
  <si>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</si>
  <si>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</si>
  <si>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</si>
  <si>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</si>
  <si>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</si>
  <si>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</si>
  <si>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</si>
  <si>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</si>
  <si>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</si>
  <si>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</si>
  <si>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</si>
  <si>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</si>
  <si>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</si>
  <si>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</si>
  <si>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</si>
  <si>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</si>
  <si>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</si>
  <si>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</si>
  <si>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</si>
  <si>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</si>
  <si>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</si>
  <si>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</si>
  <si>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</si>
  <si>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</si>
  <si>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</si>
  <si>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</si>
  <si>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</si>
  <si>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</si>
  <si>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</si>
  <si>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</si>
  <si>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</si>
  <si>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</si>
  <si>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</si>
  <si>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</si>
  <si>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</si>
  <si>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</si>
  <si>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</si>
  <si>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</si>
  <si>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</si>
  <si>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</si>
  <si>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</si>
  <si>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</si>
  <si>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</si>
  <si>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</si>
  <si>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</si>
  <si>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</si>
  <si>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</si>
  <si>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</si>
  <si>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</si>
  <si>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</si>
  <si>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</si>
  <si>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</si>
  <si>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</si>
  <si>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</si>
  <si>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</si>
  <si>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</si>
  <si>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</si>
  <si>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</si>
  <si>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</si>
  <si>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</si>
  <si>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</si>
  <si>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</si>
  <si>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</si>
  <si>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</si>
  <si>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</si>
  <si>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</si>
  <si>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</si>
  <si>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</si>
  <si>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</si>
  <si>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</si>
  <si>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</si>
  <si>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</si>
  <si>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</si>
  <si>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</si>
  <si>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</si>
  <si>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</si>
  <si>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</si>
  <si>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</si>
  <si>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</si>
  <si>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</si>
  <si>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</si>
  <si>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</si>
  <si>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</si>
  <si>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</si>
  <si>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</si>
  <si>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</si>
  <si>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</si>
  <si>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</si>
  <si>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</si>
  <si>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</si>
  <si>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</si>
  <si>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</si>
  <si>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</si>
  <si>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</si>
  <si>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</si>
  <si>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</si>
  <si>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</si>
  <si>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</si>
  <si>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</si>
  <si>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</si>
  <si>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</si>
  <si>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</si>
  <si>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</si>
  <si>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</si>
  <si>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</si>
  <si>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</si>
  <si>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</si>
  <si>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</si>
  <si>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</si>
  <si>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</si>
  <si>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</si>
  <si>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</si>
  <si>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</si>
  <si>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</si>
  <si>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</si>
  <si>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</si>
  <si>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</si>
  <si>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</si>
  <si>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</si>
  <si>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</si>
  <si>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</si>
  <si>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</si>
  <si>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</si>
  <si>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</si>
  <si>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</si>
  <si>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</si>
  <si>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</si>
  <si>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</si>
  <si>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</si>
  <si>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</si>
  <si>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</si>
  <si>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</si>
  <si>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</si>
  <si>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</si>
  <si>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</si>
  <si>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</si>
  <si>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</si>
  <si>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</si>
  <si>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</si>
  <si>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</si>
  <si>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</si>
  <si>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</si>
  <si>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</si>
  <si>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</si>
  <si>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</si>
  <si>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</si>
  <si>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</si>
  <si>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</si>
  <si>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</si>
  <si>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</si>
  <si>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</si>
  <si>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</si>
  <si>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</si>
  <si>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</si>
  <si>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</si>
  <si>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</si>
  <si>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</si>
  <si>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</si>
  <si>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</si>
  <si>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</si>
  <si>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</si>
  <si>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</si>
  <si>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</si>
  <si>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</si>
  <si>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</si>
  <si>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</si>
  <si>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</si>
  <si>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</si>
  <si>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</si>
  <si>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</si>
  <si>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</si>
  <si>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</si>
  <si>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</si>
  <si>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</si>
  <si>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</si>
  <si>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</si>
  <si>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</si>
  <si>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</si>
  <si>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</si>
  <si>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</si>
  <si>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</si>
  <si>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</si>
  <si>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</si>
  <si>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</si>
  <si>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</si>
  <si>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</si>
  <si>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</si>
  <si>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</si>
  <si>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</si>
  <si>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</si>
  <si>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</si>
  <si>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</si>
  <si>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</si>
  <si>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</si>
  <si>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</si>
  <si>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</si>
  <si>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</si>
  <si>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</si>
  <si>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</si>
  <si>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</si>
  <si>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</si>
  <si>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</si>
  <si>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</si>
  <si>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</si>
  <si>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</si>
  <si>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</si>
  <si>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</si>
  <si>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audit adj</t>
  </si>
  <si>
    <t>interest earned</t>
  </si>
  <si>
    <t>Wakefield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</si>
</sst>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526" activePane="bottomRight" state="frozen"/>
      <selection pane="topRight" activeCell="F1" sqref="F1"/>
      <selection pane="bottomLeft" activeCell="A4" sqref="A4"/>
      <selection pane="bottomRight" activeCell="F531" sqref="F531:G53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914</v>
      </c>
      <c r="B2" s="21">
        <v>543</v>
      </c>
      <c r="C2" s="21">
        <v>543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723537.83+107.61</f>
        <v>723645.43999999994</v>
      </c>
      <c r="G9" s="18">
        <v>2180.9899999999998</v>
      </c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370028.79999999999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>
        <v>28845.87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358.41</v>
      </c>
      <c r="G14" s="18">
        <v>7715.65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7973.7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724003.85</v>
      </c>
      <c r="G19" s="41">
        <f>SUM(G9:G18)</f>
        <v>17870.34</v>
      </c>
      <c r="H19" s="41">
        <f>SUM(H9:H18)</f>
        <v>28845.87</v>
      </c>
      <c r="I19" s="41">
        <f>SUM(I9:I18)</f>
        <v>0</v>
      </c>
      <c r="J19" s="41">
        <f>SUM(J9:J18)</f>
        <v>370028.79999999999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2494.86</v>
      </c>
      <c r="G22" s="18">
        <f>-10870.19</f>
        <v>-10870.19</v>
      </c>
      <c r="H22" s="18">
        <v>28635.84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21673.61</v>
      </c>
      <c r="G24" s="18">
        <v>24686.75</v>
      </c>
      <c r="H24" s="18">
        <v>210.03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108216.59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-1192.96-10981.91</f>
        <v>-12174.869999999999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120210.19</v>
      </c>
      <c r="G32" s="41">
        <f>SUM(G22:G31)</f>
        <v>13816.56</v>
      </c>
      <c r="H32" s="41">
        <f>SUM(H22:H31)</f>
        <v>28845.87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4053.78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370028.79999999999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F19-F32</f>
        <v>603793.65999999992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603793.65999999992</v>
      </c>
      <c r="G51" s="41">
        <f>SUM(G35:G50)</f>
        <v>4053.78</v>
      </c>
      <c r="H51" s="41">
        <f>SUM(H35:H50)</f>
        <v>0</v>
      </c>
      <c r="I51" s="41">
        <f>SUM(I35:I50)</f>
        <v>0</v>
      </c>
      <c r="J51" s="41">
        <f>SUM(J35:J50)</f>
        <v>370028.79999999999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724003.84999999986</v>
      </c>
      <c r="G52" s="41">
        <f>G51+G32</f>
        <v>17870.34</v>
      </c>
      <c r="H52" s="41">
        <f>H51+H32</f>
        <v>28845.87</v>
      </c>
      <c r="I52" s="41">
        <f>I51+I32</f>
        <v>0</v>
      </c>
      <c r="J52" s="41">
        <f>J51+J32</f>
        <v>370028.79999999999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5455075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5455075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3030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3030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4266.4799999999996</v>
      </c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4266.4799999999996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48270.83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5388.97+10.34+7500+1882.31</f>
        <v>14781.62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14781.62</v>
      </c>
      <c r="G111" s="41">
        <f>SUM(G96:G110)</f>
        <v>48270.83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5477153.1000000006</v>
      </c>
      <c r="G112" s="41">
        <f>G60+G111</f>
        <v>48270.83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1175316.3700000001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2135059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3310375.37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2735.11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>
        <v>20141.09</v>
      </c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22876.2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3310375.37</v>
      </c>
      <c r="G140" s="41">
        <f>G121+SUM(G136:G137)</f>
        <v>22876.2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>
        <v>5950</v>
      </c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42.9+100614.2</f>
        <v>100657.09999999999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11497.21+3128.92+2254</f>
        <v>16880.129999999997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107826.42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111469.57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111469.57</v>
      </c>
      <c r="G162" s="41">
        <f>SUM(G150:G161)</f>
        <v>107826.42</v>
      </c>
      <c r="H162" s="41">
        <f>SUM(H150:H161)</f>
        <v>123487.22999999998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111469.57</v>
      </c>
      <c r="G169" s="41">
        <f>G147+G162+SUM(G163:G168)</f>
        <v>107826.42</v>
      </c>
      <c r="H169" s="41">
        <f>H147+H162+SUM(H163:H168)</f>
        <v>123487.22999999998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f>25000+42000</f>
        <v>67000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67000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67000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8898998.040000001</v>
      </c>
      <c r="G193" s="47">
        <f>G112+G140+G169+G192</f>
        <v>178973.45</v>
      </c>
      <c r="H193" s="47">
        <f>H112+H140+H169+H192</f>
        <v>123487.22999999998</v>
      </c>
      <c r="I193" s="47">
        <f>I112+I140+I169+I192</f>
        <v>0</v>
      </c>
      <c r="J193" s="47">
        <f>J112+J140+J192</f>
        <v>67000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1512759.58+56939.02</f>
        <v>1569698.6</v>
      </c>
      <c r="G197" s="18">
        <f>771033.51+29294.26</f>
        <v>800327.77</v>
      </c>
      <c r="H197" s="18">
        <v>15706.12</v>
      </c>
      <c r="I197" s="18">
        <v>45892.78</v>
      </c>
      <c r="J197" s="18">
        <v>547.42999999999995</v>
      </c>
      <c r="K197" s="18">
        <v>252</v>
      </c>
      <c r="L197" s="19">
        <f>SUM(F197:K197)</f>
        <v>2432424.7000000002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726492.22</v>
      </c>
      <c r="G198" s="18">
        <f>13558.05+304103.4</f>
        <v>317661.45</v>
      </c>
      <c r="H198" s="18">
        <f>686754.21-100-93228.33</f>
        <v>593425.88</v>
      </c>
      <c r="I198" s="18">
        <v>5195.17</v>
      </c>
      <c r="J198" s="18">
        <v>3669</v>
      </c>
      <c r="K198" s="18"/>
      <c r="L198" s="19">
        <f>SUM(F198:K198)</f>
        <v>1646443.7199999997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20035.52</v>
      </c>
      <c r="G200" s="18">
        <f>373.91+4277.48</f>
        <v>4651.3899999999994</v>
      </c>
      <c r="H200" s="18">
        <v>15188.74</v>
      </c>
      <c r="I200" s="18">
        <v>3089.28</v>
      </c>
      <c r="J200" s="18"/>
      <c r="K200" s="18"/>
      <c r="L200" s="19">
        <f>SUM(F200:K200)</f>
        <v>42964.93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4641+108671.8+43089+17637.8</f>
        <v>174039.59999999998</v>
      </c>
      <c r="G202" s="18">
        <f>355.03+45345.57+12333.46+10681.33+3247.99</f>
        <v>71963.38</v>
      </c>
      <c r="H202" s="18">
        <f>7235.5+120</f>
        <v>7355.5</v>
      </c>
      <c r="I202" s="18">
        <f>477.34+2010.93+37.51</f>
        <v>2525.7800000000002</v>
      </c>
      <c r="J202" s="18"/>
      <c r="K202" s="18">
        <v>153.08000000000001</v>
      </c>
      <c r="L202" s="19">
        <f t="shared" ref="L202:L208" si="0">SUM(F202:K202)</f>
        <v>256037.33999999997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49632</v>
      </c>
      <c r="G203" s="18">
        <f>926.25+22719.62+13608</f>
        <v>37253.869999999995</v>
      </c>
      <c r="H203" s="18">
        <f>18648.98+4328</f>
        <v>22976.98</v>
      </c>
      <c r="I203" s="18">
        <v>10496.45</v>
      </c>
      <c r="J203" s="18">
        <v>993.55</v>
      </c>
      <c r="K203" s="18"/>
      <c r="L203" s="19">
        <f t="shared" si="0"/>
        <v>121352.84999999999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11141.3</v>
      </c>
      <c r="G204" s="18">
        <f>852.35+207.92</f>
        <v>1060.27</v>
      </c>
      <c r="H204" s="18">
        <f>34720.55+497256.96</f>
        <v>531977.51</v>
      </c>
      <c r="I204" s="18"/>
      <c r="J204" s="18"/>
      <c r="K204" s="18">
        <v>7131.04</v>
      </c>
      <c r="L204" s="19">
        <f t="shared" si="0"/>
        <v>551310.12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190073.65</v>
      </c>
      <c r="G205" s="18">
        <f>3547.22+94554.33</f>
        <v>98101.55</v>
      </c>
      <c r="H205" s="18">
        <v>16770.740000000002</v>
      </c>
      <c r="I205" s="18">
        <v>-1441.22</v>
      </c>
      <c r="J205" s="18"/>
      <c r="K205" s="18">
        <v>3366.8</v>
      </c>
      <c r="L205" s="19">
        <f t="shared" si="0"/>
        <v>306871.52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120276.65</v>
      </c>
      <c r="G207" s="18">
        <f>28078.66+2244.64</f>
        <v>30323.3</v>
      </c>
      <c r="H207" s="18">
        <v>93187.19</v>
      </c>
      <c r="I207" s="18">
        <v>98430.52</v>
      </c>
      <c r="J207" s="18">
        <v>1338.36</v>
      </c>
      <c r="K207" s="18"/>
      <c r="L207" s="19">
        <f t="shared" si="0"/>
        <v>343556.01999999996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194512.5</v>
      </c>
      <c r="G208" s="18">
        <f>3630.07+76597.74</f>
        <v>80227.810000000012</v>
      </c>
      <c r="H208" s="18">
        <v>181867.71</v>
      </c>
      <c r="I208" s="18">
        <v>54897.38</v>
      </c>
      <c r="J208" s="18">
        <v>1699.89</v>
      </c>
      <c r="K208" s="18">
        <v>8337.0400000000009</v>
      </c>
      <c r="L208" s="19">
        <f t="shared" si="0"/>
        <v>521542.33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>
        <v>33195.019999999997</v>
      </c>
      <c r="I209" s="18"/>
      <c r="J209" s="18">
        <v>1809</v>
      </c>
      <c r="K209" s="18"/>
      <c r="L209" s="19">
        <f>SUM(F209:K209)</f>
        <v>35004.019999999997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3055902.04</v>
      </c>
      <c r="G211" s="41">
        <f t="shared" si="1"/>
        <v>1441570.79</v>
      </c>
      <c r="H211" s="41">
        <f t="shared" si="1"/>
        <v>1511651.39</v>
      </c>
      <c r="I211" s="41">
        <f t="shared" si="1"/>
        <v>219086.14</v>
      </c>
      <c r="J211" s="41">
        <f t="shared" si="1"/>
        <v>10057.23</v>
      </c>
      <c r="K211" s="41">
        <f t="shared" si="1"/>
        <v>19239.96</v>
      </c>
      <c r="L211" s="41">
        <f t="shared" si="1"/>
        <v>6257507.5499999989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>
        <v>100</v>
      </c>
      <c r="I216" s="18"/>
      <c r="J216" s="18"/>
      <c r="K216" s="18"/>
      <c r="L216" s="19">
        <f>SUM(F216:K216)</f>
        <v>100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100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100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2228457.87</v>
      </c>
      <c r="I233" s="18"/>
      <c r="J233" s="18"/>
      <c r="K233" s="18"/>
      <c r="L233" s="19">
        <f>SUM(F233:K233)</f>
        <v>2228457.87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93228.33</v>
      </c>
      <c r="I234" s="18"/>
      <c r="J234" s="18"/>
      <c r="K234" s="18"/>
      <c r="L234" s="19">
        <f>SUM(F234:K234)</f>
        <v>93228.33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2321686.2000000002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2321686.2000000002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3055902.04</v>
      </c>
      <c r="G257" s="41">
        <f t="shared" si="8"/>
        <v>1441570.79</v>
      </c>
      <c r="H257" s="41">
        <f t="shared" si="8"/>
        <v>3833437.59</v>
      </c>
      <c r="I257" s="41">
        <f t="shared" si="8"/>
        <v>219086.14</v>
      </c>
      <c r="J257" s="41">
        <f t="shared" si="8"/>
        <v>10057.23</v>
      </c>
      <c r="K257" s="41">
        <f t="shared" si="8"/>
        <v>19239.96</v>
      </c>
      <c r="L257" s="41">
        <f t="shared" si="8"/>
        <v>8579293.75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f>42000+25000</f>
        <v>67000</v>
      </c>
      <c r="L266" s="19">
        <f t="shared" si="9"/>
        <v>67000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67000</v>
      </c>
      <c r="L270" s="41">
        <f t="shared" si="9"/>
        <v>67000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3055902.04</v>
      </c>
      <c r="G271" s="42">
        <f t="shared" si="11"/>
        <v>1441570.79</v>
      </c>
      <c r="H271" s="42">
        <f t="shared" si="11"/>
        <v>3833437.59</v>
      </c>
      <c r="I271" s="42">
        <f t="shared" si="11"/>
        <v>219086.14</v>
      </c>
      <c r="J271" s="42">
        <f t="shared" si="11"/>
        <v>10057.23</v>
      </c>
      <c r="K271" s="42">
        <f t="shared" si="11"/>
        <v>86239.959999999992</v>
      </c>
      <c r="L271" s="42">
        <f t="shared" si="11"/>
        <v>8646293.75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61084.26</v>
      </c>
      <c r="G276" s="18">
        <v>32679.4</v>
      </c>
      <c r="H276" s="18"/>
      <c r="I276" s="18">
        <v>2188.54</v>
      </c>
      <c r="J276" s="18"/>
      <c r="K276" s="18"/>
      <c r="L276" s="19">
        <f>SUM(F276:K276)</f>
        <v>95952.2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8255</v>
      </c>
      <c r="G281" s="18">
        <v>1864.59</v>
      </c>
      <c r="H281" s="18"/>
      <c r="I281" s="18"/>
      <c r="J281" s="18"/>
      <c r="K281" s="18"/>
      <c r="L281" s="19">
        <f t="shared" ref="L281:L287" si="12">SUM(F281:K281)</f>
        <v>10119.59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2248</v>
      </c>
      <c r="G282" s="18">
        <v>524.26</v>
      </c>
      <c r="H282" s="18">
        <f>8167.9+1526.94</f>
        <v>9694.84</v>
      </c>
      <c r="I282" s="18">
        <v>33.340000000000003</v>
      </c>
      <c r="J282" s="18"/>
      <c r="K282" s="18"/>
      <c r="L282" s="19">
        <f t="shared" si="12"/>
        <v>12500.44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4915</v>
      </c>
      <c r="L285" s="19">
        <f t="shared" si="12"/>
        <v>4915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71587.260000000009</v>
      </c>
      <c r="G290" s="42">
        <f t="shared" si="13"/>
        <v>35068.25</v>
      </c>
      <c r="H290" s="42">
        <f t="shared" si="13"/>
        <v>9694.84</v>
      </c>
      <c r="I290" s="42">
        <f t="shared" si="13"/>
        <v>2221.88</v>
      </c>
      <c r="J290" s="42">
        <f t="shared" si="13"/>
        <v>0</v>
      </c>
      <c r="K290" s="42">
        <f t="shared" si="13"/>
        <v>4915</v>
      </c>
      <c r="L290" s="41">
        <f t="shared" si="13"/>
        <v>123487.23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71587.260000000009</v>
      </c>
      <c r="G338" s="41">
        <f t="shared" si="20"/>
        <v>35068.25</v>
      </c>
      <c r="H338" s="41">
        <f t="shared" si="20"/>
        <v>9694.84</v>
      </c>
      <c r="I338" s="41">
        <f t="shared" si="20"/>
        <v>2221.88</v>
      </c>
      <c r="J338" s="41">
        <f t="shared" si="20"/>
        <v>0</v>
      </c>
      <c r="K338" s="41">
        <f t="shared" si="20"/>
        <v>4915</v>
      </c>
      <c r="L338" s="41">
        <f t="shared" si="20"/>
        <v>123487.23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71587.260000000009</v>
      </c>
      <c r="G352" s="41">
        <f>G338</f>
        <v>35068.25</v>
      </c>
      <c r="H352" s="41">
        <f>H338</f>
        <v>9694.84</v>
      </c>
      <c r="I352" s="41">
        <f>I338</f>
        <v>2221.88</v>
      </c>
      <c r="J352" s="41">
        <f>J338</f>
        <v>0</v>
      </c>
      <c r="K352" s="47">
        <f>K338+K351</f>
        <v>4915</v>
      </c>
      <c r="L352" s="41">
        <f>L338+L351</f>
        <v>123487.23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f>171677+806</f>
        <v>172483</v>
      </c>
      <c r="I358" s="18">
        <v>469.67</v>
      </c>
      <c r="J358" s="18">
        <v>1967</v>
      </c>
      <c r="K358" s="18"/>
      <c r="L358" s="13">
        <f>SUM(F358:K358)</f>
        <v>174919.67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172483</v>
      </c>
      <c r="I362" s="47">
        <f t="shared" si="22"/>
        <v>469.67</v>
      </c>
      <c r="J362" s="47">
        <f t="shared" si="22"/>
        <v>1967</v>
      </c>
      <c r="K362" s="47">
        <f t="shared" si="22"/>
        <v>0</v>
      </c>
      <c r="L362" s="47">
        <f t="shared" si="22"/>
        <v>174919.67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469.67</v>
      </c>
      <c r="G368" s="63"/>
      <c r="H368" s="63"/>
      <c r="I368" s="56">
        <f>SUM(F368:H368)</f>
        <v>469.67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469.67</v>
      </c>
      <c r="G369" s="47">
        <f>SUM(G367:G368)</f>
        <v>0</v>
      </c>
      <c r="H369" s="47">
        <f>SUM(H367:H368)</f>
        <v>0</v>
      </c>
      <c r="I369" s="47">
        <f>SUM(I367:I368)</f>
        <v>469.67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>
        <v>42000</v>
      </c>
      <c r="H389" s="18"/>
      <c r="I389" s="18"/>
      <c r="J389" s="24" t="s">
        <v>289</v>
      </c>
      <c r="K389" s="24" t="s">
        <v>289</v>
      </c>
      <c r="L389" s="56">
        <f t="shared" si="25"/>
        <v>42000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42000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42000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>
        <v>25000</v>
      </c>
      <c r="H400" s="18"/>
      <c r="I400" s="18"/>
      <c r="J400" s="24" t="s">
        <v>289</v>
      </c>
      <c r="K400" s="24" t="s">
        <v>289</v>
      </c>
      <c r="L400" s="56">
        <f t="shared" si="26"/>
        <v>25000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25000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25000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67000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67000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>
        <f>1551.51+35130.1</f>
        <v>36681.61</v>
      </c>
      <c r="I415" s="18"/>
      <c r="J415" s="18"/>
      <c r="K415" s="18"/>
      <c r="L415" s="56">
        <f t="shared" si="27"/>
        <v>36681.61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36681.61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36681.61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36681.61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36681.61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f>33930.7+3565.31+8067.12</f>
        <v>45563.13</v>
      </c>
      <c r="G440" s="18">
        <f>47980.81+105419.74+2423.38+37694.91+79683.83+51263</f>
        <v>324465.67</v>
      </c>
      <c r="H440" s="18"/>
      <c r="I440" s="56">
        <f t="shared" si="33"/>
        <v>370028.79999999999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45563.13</v>
      </c>
      <c r="G446" s="13">
        <f>SUM(G439:G445)</f>
        <v>324465.67</v>
      </c>
      <c r="H446" s="13">
        <f>SUM(H439:H445)</f>
        <v>0</v>
      </c>
      <c r="I446" s="13">
        <f>SUM(I439:I445)</f>
        <v>370028.79999999999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f>F440</f>
        <v>45563.13</v>
      </c>
      <c r="G459" s="18">
        <f>G440</f>
        <v>324465.67</v>
      </c>
      <c r="H459" s="18"/>
      <c r="I459" s="56">
        <f t="shared" si="34"/>
        <v>370028.79999999999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45563.13</v>
      </c>
      <c r="G460" s="83">
        <f>SUM(G454:G459)</f>
        <v>324465.67</v>
      </c>
      <c r="H460" s="83">
        <f>SUM(H454:H459)</f>
        <v>0</v>
      </c>
      <c r="I460" s="83">
        <f>SUM(I454:I459)</f>
        <v>370028.79999999999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45563.13</v>
      </c>
      <c r="G461" s="42">
        <f>G452+G460</f>
        <v>324465.67</v>
      </c>
      <c r="H461" s="42">
        <f>H452+H460</f>
        <v>0</v>
      </c>
      <c r="I461" s="42">
        <f>I452+I460</f>
        <v>370028.79999999999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360335.48</v>
      </c>
      <c r="G465" s="18">
        <v>0</v>
      </c>
      <c r="H465" s="18">
        <v>0</v>
      </c>
      <c r="I465" s="18"/>
      <c r="J465" s="18">
        <v>335900.63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8898998.0399999991</v>
      </c>
      <c r="G468" s="18">
        <f>158832.36+20141.09</f>
        <v>178973.44999999998</v>
      </c>
      <c r="H468" s="18">
        <v>123487.23</v>
      </c>
      <c r="I468" s="18"/>
      <c r="J468" s="18">
        <v>67000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>
        <v>3809.78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8898998.0399999991</v>
      </c>
      <c r="G470" s="53">
        <f>SUM(G468:G469)</f>
        <v>178973.44999999998</v>
      </c>
      <c r="H470" s="53">
        <f>SUM(H468:H469)</f>
        <v>123487.23</v>
      </c>
      <c r="I470" s="53">
        <f>SUM(I468:I469)</f>
        <v>0</v>
      </c>
      <c r="J470" s="53">
        <f>SUM(J468:J469)</f>
        <v>70809.78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8646293.75</v>
      </c>
      <c r="G472" s="18">
        <v>174919.67</v>
      </c>
      <c r="H472" s="18">
        <v>123487.23</v>
      </c>
      <c r="I472" s="18"/>
      <c r="J472" s="18">
        <f>35130.1+1551.51</f>
        <v>36681.61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>
        <v>9246.11</v>
      </c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8655539.8599999994</v>
      </c>
      <c r="G474" s="53">
        <f>SUM(G472:G473)</f>
        <v>174919.67</v>
      </c>
      <c r="H474" s="53">
        <f>SUM(H472:H473)</f>
        <v>123487.23</v>
      </c>
      <c r="I474" s="53">
        <f>SUM(I472:I473)</f>
        <v>0</v>
      </c>
      <c r="J474" s="53">
        <f>SUM(J472:J473)</f>
        <v>36681.61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603793.66000000015</v>
      </c>
      <c r="G476" s="53">
        <f>(G465+G470)- G474</f>
        <v>4053.7799999999697</v>
      </c>
      <c r="H476" s="53">
        <f>(H465+H470)- H474</f>
        <v>0</v>
      </c>
      <c r="I476" s="53">
        <f>(I465+I470)- I474</f>
        <v>0</v>
      </c>
      <c r="J476" s="53">
        <f>(J465+J470)- J474</f>
        <v>370028.80000000005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 t="s">
        <v>913</v>
      </c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 t="s">
        <v>912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704720.53999999992</v>
      </c>
      <c r="G521" s="18">
        <v>299253.97000000003</v>
      </c>
      <c r="H521" s="18">
        <v>379158.50999999995</v>
      </c>
      <c r="I521" s="18">
        <v>5195.17</v>
      </c>
      <c r="J521" s="18">
        <v>3669</v>
      </c>
      <c r="K521" s="18"/>
      <c r="L521" s="88">
        <f>SUM(F521:K521)</f>
        <v>1391997.19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704720.53999999992</v>
      </c>
      <c r="G524" s="108">
        <f t="shared" ref="G524:L524" si="36">SUM(G521:G523)</f>
        <v>299253.97000000003</v>
      </c>
      <c r="H524" s="108">
        <f t="shared" si="36"/>
        <v>379158.50999999995</v>
      </c>
      <c r="I524" s="108">
        <f t="shared" si="36"/>
        <v>5195.17</v>
      </c>
      <c r="J524" s="108">
        <f t="shared" si="36"/>
        <v>3669</v>
      </c>
      <c r="K524" s="108">
        <f t="shared" si="36"/>
        <v>0</v>
      </c>
      <c r="L524" s="89">
        <f t="shared" si="36"/>
        <v>1391997.19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307595.7</v>
      </c>
      <c r="I526" s="18"/>
      <c r="J526" s="18"/>
      <c r="K526" s="18"/>
      <c r="L526" s="88">
        <f>SUM(F526:K526)</f>
        <v>307595.7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307595.7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307595.7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21771.68</v>
      </c>
      <c r="G531" s="18">
        <v>4849.43</v>
      </c>
      <c r="H531" s="18"/>
      <c r="I531" s="18"/>
      <c r="J531" s="18"/>
      <c r="K531" s="18"/>
      <c r="L531" s="88">
        <f>SUM(F531:K531)</f>
        <v>26621.11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21771.68</v>
      </c>
      <c r="G534" s="89">
        <f t="shared" ref="G534:L534" si="38">SUM(G531:G533)</f>
        <v>4849.43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26621.11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61118.94</v>
      </c>
      <c r="G541" s="18">
        <f>18133.44+3670.24+500.04</f>
        <v>22303.72</v>
      </c>
      <c r="H541" s="18">
        <v>10591.7</v>
      </c>
      <c r="I541" s="18"/>
      <c r="J541" s="18"/>
      <c r="K541" s="18"/>
      <c r="L541" s="88">
        <f>SUM(F541:K541)</f>
        <v>94014.36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61118.94</v>
      </c>
      <c r="G544" s="193">
        <f t="shared" ref="G544:L544" si="40">SUM(G541:G543)</f>
        <v>22303.72</v>
      </c>
      <c r="H544" s="193">
        <f t="shared" si="40"/>
        <v>10591.7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94014.36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787611.15999999992</v>
      </c>
      <c r="G545" s="89">
        <f t="shared" ref="G545:L545" si="41">G524+G529+G534+G539+G544</f>
        <v>326407.12</v>
      </c>
      <c r="H545" s="89">
        <f t="shared" si="41"/>
        <v>697345.90999999992</v>
      </c>
      <c r="I545" s="89">
        <f t="shared" si="41"/>
        <v>5195.17</v>
      </c>
      <c r="J545" s="89">
        <f t="shared" si="41"/>
        <v>3669</v>
      </c>
      <c r="K545" s="89">
        <f t="shared" si="41"/>
        <v>0</v>
      </c>
      <c r="L545" s="89">
        <f t="shared" si="41"/>
        <v>1820228.36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1391997.19</v>
      </c>
      <c r="G549" s="87">
        <f>L526</f>
        <v>307595.7</v>
      </c>
      <c r="H549" s="87">
        <f>L531</f>
        <v>26621.11</v>
      </c>
      <c r="I549" s="87">
        <f>L536</f>
        <v>0</v>
      </c>
      <c r="J549" s="87">
        <f>L541</f>
        <v>94014.36</v>
      </c>
      <c r="K549" s="87">
        <f>SUM(F549:J549)</f>
        <v>1820228.36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1391997.19</v>
      </c>
      <c r="G552" s="89">
        <f t="shared" si="42"/>
        <v>307595.7</v>
      </c>
      <c r="H552" s="89">
        <f t="shared" si="42"/>
        <v>26621.11</v>
      </c>
      <c r="I552" s="89">
        <f t="shared" si="42"/>
        <v>0</v>
      </c>
      <c r="J552" s="89">
        <f t="shared" si="42"/>
        <v>94014.36</v>
      </c>
      <c r="K552" s="89">
        <f t="shared" si="42"/>
        <v>1820228.36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2228457.87</v>
      </c>
      <c r="I575" s="87">
        <f>SUM(F575:H575)</f>
        <v>2228457.87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200607.61</v>
      </c>
      <c r="G579" s="18">
        <v>100</v>
      </c>
      <c r="H579" s="18">
        <v>93228.33</v>
      </c>
      <c r="I579" s="87">
        <f t="shared" si="47"/>
        <v>293935.94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65751.820000000007</v>
      </c>
      <c r="G582" s="18"/>
      <c r="H582" s="18"/>
      <c r="I582" s="87">
        <f t="shared" si="47"/>
        <v>65751.820000000007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L208-H592-H593-H594-H595-H596-H597</f>
        <v>424190.11000000004</v>
      </c>
      <c r="I591" s="18"/>
      <c r="J591" s="18"/>
      <c r="K591" s="104">
        <f t="shared" ref="K591:K597" si="48">SUM(H591:J591)</f>
        <v>424190.11000000004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L541</f>
        <v>94014.36</v>
      </c>
      <c r="I592" s="18"/>
      <c r="J592" s="18"/>
      <c r="K592" s="104">
        <f t="shared" si="48"/>
        <v>94014.36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f>1918+146.73+1273.13</f>
        <v>3337.86</v>
      </c>
      <c r="I595" s="18"/>
      <c r="J595" s="18"/>
      <c r="K595" s="104">
        <f t="shared" si="48"/>
        <v>3337.86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521542.33</v>
      </c>
      <c r="I598" s="108">
        <f>SUM(I591:I597)</f>
        <v>0</v>
      </c>
      <c r="J598" s="108">
        <f>SUM(J591:J597)</f>
        <v>0</v>
      </c>
      <c r="K598" s="108">
        <f>SUM(K591:K597)</f>
        <v>521542.33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J211+J290</f>
        <v>10057.23</v>
      </c>
      <c r="I604" s="18"/>
      <c r="J604" s="18"/>
      <c r="K604" s="104">
        <f>SUM(H604:J604)</f>
        <v>10057.23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10057.23</v>
      </c>
      <c r="I605" s="108">
        <f>SUM(I602:I604)</f>
        <v>0</v>
      </c>
      <c r="J605" s="108">
        <f>SUM(J602:J604)</f>
        <v>0</v>
      </c>
      <c r="K605" s="108">
        <f>SUM(K602:K604)</f>
        <v>10057.23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f>11770.68+5083.02</f>
        <v>16853.7</v>
      </c>
      <c r="G611" s="18">
        <f>900.46+1844.47+388.85+796.51</f>
        <v>3930.29</v>
      </c>
      <c r="H611" s="18"/>
      <c r="I611" s="18"/>
      <c r="J611" s="18"/>
      <c r="K611" s="18"/>
      <c r="L611" s="88">
        <f>SUM(F611:K611)</f>
        <v>20783.990000000002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16853.7</v>
      </c>
      <c r="G614" s="108">
        <f t="shared" si="49"/>
        <v>3930.29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20783.990000000002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724003.85</v>
      </c>
      <c r="H617" s="109">
        <f>SUM(F52)</f>
        <v>724003.84999999986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17870.34</v>
      </c>
      <c r="H618" s="109">
        <f>SUM(G52)</f>
        <v>17870.34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28845.87</v>
      </c>
      <c r="H619" s="109">
        <f>SUM(H52)</f>
        <v>28845.87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370028.79999999999</v>
      </c>
      <c r="H621" s="109">
        <f>SUM(J52)</f>
        <v>370028.79999999999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603793.65999999992</v>
      </c>
      <c r="H622" s="109">
        <f>F476</f>
        <v>603793.66000000015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4053.78</v>
      </c>
      <c r="H623" s="109">
        <f>G476</f>
        <v>4053.7799999999697</v>
      </c>
      <c r="I623" s="121" t="s">
        <v>102</v>
      </c>
      <c r="J623" s="109">
        <f t="shared" si="50"/>
        <v>3.0468072509393096E-11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370028.79999999999</v>
      </c>
      <c r="H626" s="109">
        <f>J476</f>
        <v>370028.80000000005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8898998.040000001</v>
      </c>
      <c r="H627" s="104">
        <f>SUM(F468)</f>
        <v>8898998.0399999991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178973.45</v>
      </c>
      <c r="H628" s="104">
        <f>SUM(G468)</f>
        <v>178973.44999999998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123487.22999999998</v>
      </c>
      <c r="H629" s="104">
        <f>SUM(H468)</f>
        <v>123487.23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67000</v>
      </c>
      <c r="H631" s="104">
        <f>SUM(J468)</f>
        <v>67000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8646293.75</v>
      </c>
      <c r="H632" s="104">
        <f>SUM(F472)</f>
        <v>8646293.75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123487.23</v>
      </c>
      <c r="H633" s="104">
        <f>SUM(H472)</f>
        <v>123487.23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469.67</v>
      </c>
      <c r="H634" s="104">
        <f>I369</f>
        <v>469.67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174919.67</v>
      </c>
      <c r="H635" s="104">
        <f>SUM(G472)</f>
        <v>174919.67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67000</v>
      </c>
      <c r="H637" s="164">
        <f>SUM(J468)</f>
        <v>67000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36681.61</v>
      </c>
      <c r="H638" s="164">
        <f>SUM(J472)</f>
        <v>36681.61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45563.13</v>
      </c>
      <c r="H639" s="104">
        <f>SUM(F461)</f>
        <v>45563.13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324465.67</v>
      </c>
      <c r="H640" s="104">
        <f>SUM(G461)</f>
        <v>324465.67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370028.79999999999</v>
      </c>
      <c r="H642" s="104">
        <f>SUM(I461)</f>
        <v>370028.79999999999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67000</v>
      </c>
      <c r="H645" s="104">
        <f>G408</f>
        <v>67000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67000</v>
      </c>
      <c r="H646" s="104">
        <f>L408</f>
        <v>67000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521542.33</v>
      </c>
      <c r="H647" s="104">
        <f>L208+L226+L244</f>
        <v>521542.33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10057.23</v>
      </c>
      <c r="H648" s="104">
        <f>(J257+J338)-(J255+J336)</f>
        <v>10057.23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521542.33</v>
      </c>
      <c r="H649" s="104">
        <f>H598</f>
        <v>521542.33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67000</v>
      </c>
      <c r="H655" s="104">
        <f>K266+K347</f>
        <v>67000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6555914.4499999993</v>
      </c>
      <c r="G660" s="19">
        <f>(L229+L309+L359)</f>
        <v>100</v>
      </c>
      <c r="H660" s="19">
        <f>(L247+L328+L360)</f>
        <v>2321686.2000000002</v>
      </c>
      <c r="I660" s="19">
        <f>SUM(F660:H660)</f>
        <v>8877700.6499999985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48270.83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48270.83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519842.44</v>
      </c>
      <c r="G662" s="19">
        <f>(L226+L306)-(J226+J306)</f>
        <v>0</v>
      </c>
      <c r="H662" s="19">
        <f>(L244+L325)-(J244+J325)</f>
        <v>0</v>
      </c>
      <c r="I662" s="19">
        <f>SUM(F662:H662)</f>
        <v>519842.44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297200.64999999997</v>
      </c>
      <c r="G663" s="199">
        <f>SUM(G575:G587)+SUM(I602:I604)+L612</f>
        <v>100</v>
      </c>
      <c r="H663" s="199">
        <f>SUM(H575:H587)+SUM(J602:J604)+L613</f>
        <v>2321686.2000000002</v>
      </c>
      <c r="I663" s="19">
        <f>SUM(F663:H663)</f>
        <v>2618986.85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5690600.5299999993</v>
      </c>
      <c r="G664" s="19">
        <f>G660-SUM(G661:G663)</f>
        <v>0</v>
      </c>
      <c r="H664" s="19">
        <f>H660-SUM(H661:H663)</f>
        <v>0</v>
      </c>
      <c r="I664" s="19">
        <f>I660-SUM(I661:I663)</f>
        <v>5690600.5299999984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425.04</v>
      </c>
      <c r="G665" s="248"/>
      <c r="H665" s="248"/>
      <c r="I665" s="19">
        <f>SUM(F665:H665)</f>
        <v>425.04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13388.39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13388.39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13388.39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13388.39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3"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Wakefield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1630782.86</v>
      </c>
      <c r="C9" s="229">
        <f>'DOE25'!G197+'DOE25'!G215+'DOE25'!G233+'DOE25'!G276+'DOE25'!G295+'DOE25'!G314</f>
        <v>833007.17</v>
      </c>
    </row>
    <row r="10" spans="1:3" x14ac:dyDescent="0.2">
      <c r="A10" t="s">
        <v>779</v>
      </c>
      <c r="B10" s="240">
        <f>1512759.58+61084.26</f>
        <v>1573843.84</v>
      </c>
      <c r="C10" s="240">
        <f>771033.51+32679.4-4355.84+29294.26</f>
        <v>828651.33000000007</v>
      </c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>
        <f>56939.02</f>
        <v>56939.02</v>
      </c>
      <c r="C12" s="240">
        <v>4355.84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1630782.86</v>
      </c>
      <c r="C13" s="231">
        <f>SUM(C10:C12)</f>
        <v>833007.17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726492.22</v>
      </c>
      <c r="C18" s="229">
        <f>'DOE25'!G198+'DOE25'!G216+'DOE25'!G234+'DOE25'!G277+'DOE25'!G296+'DOE25'!G315</f>
        <v>317661.45</v>
      </c>
    </row>
    <row r="19" spans="1:3" x14ac:dyDescent="0.2">
      <c r="A19" t="s">
        <v>779</v>
      </c>
      <c r="B19" s="240">
        <f>263143.24</f>
        <v>263143.24</v>
      </c>
      <c r="C19" s="240">
        <f>54070.75+1616.17+823.32+19742.62+42149.81+13558.05</f>
        <v>131960.72</v>
      </c>
    </row>
    <row r="20" spans="1:3" x14ac:dyDescent="0.2">
      <c r="A20" t="s">
        <v>780</v>
      </c>
      <c r="B20" s="240">
        <f>373892.38+11770.68+55449.24</f>
        <v>441112.3</v>
      </c>
      <c r="C20" s="240">
        <f>92053.12+10169.74+30899.27+47729.17</f>
        <v>180851.3</v>
      </c>
    </row>
    <row r="21" spans="1:3" x14ac:dyDescent="0.2">
      <c r="A21" t="s">
        <v>781</v>
      </c>
      <c r="B21" s="240">
        <f>21771.68+465</f>
        <v>22236.68</v>
      </c>
      <c r="C21" s="240">
        <f>2417.58+2431.85</f>
        <v>4849.43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726492.22000000009</v>
      </c>
      <c r="C22" s="231">
        <f>SUM(C19:C21)</f>
        <v>317661.45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20035.52</v>
      </c>
      <c r="C36" s="235">
        <f>'DOE25'!G200+'DOE25'!G218+'DOE25'!G236+'DOE25'!G279+'DOE25'!G298+'DOE25'!G317</f>
        <v>4651.3899999999994</v>
      </c>
    </row>
    <row r="37" spans="1:3" x14ac:dyDescent="0.2">
      <c r="A37" t="s">
        <v>779</v>
      </c>
      <c r="B37" s="240">
        <f>6350+5083.02+8602.5</f>
        <v>20035.52</v>
      </c>
      <c r="C37" s="240">
        <f>4277.48+373.91</f>
        <v>4651.3899999999994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20035.52</v>
      </c>
      <c r="C40" s="231">
        <f>SUM(C37:C39)</f>
        <v>4651.3899999999994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9" sqref="D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Wakefield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6443619.5500000007</v>
      </c>
      <c r="D5" s="20">
        <f>SUM('DOE25'!L197:L200)+SUM('DOE25'!L215:L218)+SUM('DOE25'!L233:L236)-F5-G5</f>
        <v>6439151.120000001</v>
      </c>
      <c r="E5" s="243"/>
      <c r="F5" s="255">
        <f>SUM('DOE25'!J197:J200)+SUM('DOE25'!J215:J218)+SUM('DOE25'!J233:J236)</f>
        <v>4216.43</v>
      </c>
      <c r="G5" s="53">
        <f>SUM('DOE25'!K197:K200)+SUM('DOE25'!K215:K218)+SUM('DOE25'!K233:K236)</f>
        <v>252</v>
      </c>
      <c r="H5" s="259"/>
    </row>
    <row r="6" spans="1:9" x14ac:dyDescent="0.2">
      <c r="A6" s="32">
        <v>2100</v>
      </c>
      <c r="B6" t="s">
        <v>801</v>
      </c>
      <c r="C6" s="245">
        <f t="shared" si="0"/>
        <v>256037.33999999997</v>
      </c>
      <c r="D6" s="20">
        <f>'DOE25'!L202+'DOE25'!L220+'DOE25'!L238-F6-G6</f>
        <v>255884.25999999998</v>
      </c>
      <c r="E6" s="243"/>
      <c r="F6" s="255">
        <f>'DOE25'!J202+'DOE25'!J220+'DOE25'!J238</f>
        <v>0</v>
      </c>
      <c r="G6" s="53">
        <f>'DOE25'!K202+'DOE25'!K220+'DOE25'!K238</f>
        <v>153.08000000000001</v>
      </c>
      <c r="H6" s="259"/>
    </row>
    <row r="7" spans="1:9" x14ac:dyDescent="0.2">
      <c r="A7" s="32">
        <v>2200</v>
      </c>
      <c r="B7" t="s">
        <v>834</v>
      </c>
      <c r="C7" s="245">
        <f t="shared" si="0"/>
        <v>121352.84999999999</v>
      </c>
      <c r="D7" s="20">
        <f>'DOE25'!L203+'DOE25'!L221+'DOE25'!L239-F7-G7</f>
        <v>120359.29999999999</v>
      </c>
      <c r="E7" s="243"/>
      <c r="F7" s="255">
        <f>'DOE25'!J203+'DOE25'!J221+'DOE25'!J239</f>
        <v>993.55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317742.64999999991</v>
      </c>
      <c r="D8" s="243"/>
      <c r="E8" s="20">
        <f>'DOE25'!L204+'DOE25'!L222+'DOE25'!L240-F8-G8-D9-D11</f>
        <v>310611.60999999993</v>
      </c>
      <c r="F8" s="255">
        <f>'DOE25'!J204+'DOE25'!J222+'DOE25'!J240</f>
        <v>0</v>
      </c>
      <c r="G8" s="53">
        <f>'DOE25'!K204+'DOE25'!K222+'DOE25'!K240</f>
        <v>7131.04</v>
      </c>
      <c r="H8" s="259"/>
    </row>
    <row r="9" spans="1:9" x14ac:dyDescent="0.2">
      <c r="A9" s="32">
        <v>2310</v>
      </c>
      <c r="B9" t="s">
        <v>818</v>
      </c>
      <c r="C9" s="245">
        <f t="shared" si="0"/>
        <v>54053.16</v>
      </c>
      <c r="D9" s="244">
        <f>11141.3+852.35+207.92+34720.55+7131.04</f>
        <v>54053.16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13022.52</v>
      </c>
      <c r="D10" s="243"/>
      <c r="E10" s="244">
        <v>13022.52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179514.31</v>
      </c>
      <c r="D11" s="244">
        <v>179514.31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306871.52</v>
      </c>
      <c r="D12" s="20">
        <f>'DOE25'!L205+'DOE25'!L223+'DOE25'!L241-F12-G12</f>
        <v>303504.72000000003</v>
      </c>
      <c r="E12" s="243"/>
      <c r="F12" s="255">
        <f>'DOE25'!J205+'DOE25'!J223+'DOE25'!J241</f>
        <v>0</v>
      </c>
      <c r="G12" s="53">
        <f>'DOE25'!K205+'DOE25'!K223+'DOE25'!K241</f>
        <v>3366.8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343556.01999999996</v>
      </c>
      <c r="D14" s="20">
        <f>'DOE25'!L207+'DOE25'!L225+'DOE25'!L243-F14-G14</f>
        <v>342217.66</v>
      </c>
      <c r="E14" s="243"/>
      <c r="F14" s="255">
        <f>'DOE25'!J207+'DOE25'!J225+'DOE25'!J243</f>
        <v>1338.36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521542.33</v>
      </c>
      <c r="D15" s="20">
        <f>'DOE25'!L208+'DOE25'!L226+'DOE25'!L244-F15-G15</f>
        <v>511505.4</v>
      </c>
      <c r="E15" s="243"/>
      <c r="F15" s="255">
        <f>'DOE25'!J208+'DOE25'!J226+'DOE25'!J244</f>
        <v>1699.89</v>
      </c>
      <c r="G15" s="53">
        <f>'DOE25'!K208+'DOE25'!K226+'DOE25'!K244</f>
        <v>8337.0400000000009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35004.019999999997</v>
      </c>
      <c r="D16" s="243"/>
      <c r="E16" s="20">
        <f>'DOE25'!L209+'DOE25'!L227+'DOE25'!L245-F16-G16</f>
        <v>33195.019999999997</v>
      </c>
      <c r="F16" s="255">
        <f>'DOE25'!J209+'DOE25'!J227+'DOE25'!J245</f>
        <v>1809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174919.67</v>
      </c>
      <c r="D29" s="20">
        <f>'DOE25'!L358+'DOE25'!L359+'DOE25'!L360-'DOE25'!I367-F29-G29</f>
        <v>172952.67</v>
      </c>
      <c r="E29" s="243"/>
      <c r="F29" s="255">
        <f>'DOE25'!J358+'DOE25'!J359+'DOE25'!J360</f>
        <v>1967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123487.23</v>
      </c>
      <c r="D31" s="20">
        <f>'DOE25'!L290+'DOE25'!L309+'DOE25'!L328+'DOE25'!L333+'DOE25'!L334+'DOE25'!L335-F31-G31</f>
        <v>118572.23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4915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8497714.8300000001</v>
      </c>
      <c r="E33" s="246">
        <f>SUM(E5:E31)</f>
        <v>356829.14999999997</v>
      </c>
      <c r="F33" s="246">
        <f>SUM(F5:F31)</f>
        <v>12024.23</v>
      </c>
      <c r="G33" s="246">
        <f>SUM(G5:G31)</f>
        <v>24154.959999999999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356829.14999999997</v>
      </c>
      <c r="E35" s="249"/>
    </row>
    <row r="36" spans="2:8" ht="12" thickTop="1" x14ac:dyDescent="0.2">
      <c r="B36" t="s">
        <v>815</v>
      </c>
      <c r="D36" s="20">
        <f>D33</f>
        <v>8497714.8300000001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17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Wakefield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723645.43999999994</v>
      </c>
      <c r="D8" s="95">
        <f>'DOE25'!G9</f>
        <v>2180.9899999999998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370028.79999999999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28845.87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358.41</v>
      </c>
      <c r="D13" s="95">
        <f>'DOE25'!G14</f>
        <v>7715.65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7973.7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724003.85</v>
      </c>
      <c r="D18" s="41">
        <f>SUM(D8:D17)</f>
        <v>17870.34</v>
      </c>
      <c r="E18" s="41">
        <f>SUM(E8:E17)</f>
        <v>28845.87</v>
      </c>
      <c r="F18" s="41">
        <f>SUM(F8:F17)</f>
        <v>0</v>
      </c>
      <c r="G18" s="41">
        <f>SUM(G8:G17)</f>
        <v>370028.79999999999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2494.86</v>
      </c>
      <c r="D21" s="95">
        <f>'DOE25'!G22</f>
        <v>-10870.19</v>
      </c>
      <c r="E21" s="95">
        <f>'DOE25'!H22</f>
        <v>28635.84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21673.61</v>
      </c>
      <c r="D23" s="95">
        <f>'DOE25'!G24</f>
        <v>24686.75</v>
      </c>
      <c r="E23" s="95">
        <f>'DOE25'!H24</f>
        <v>210.03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108216.59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-12174.869999999999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120210.19</v>
      </c>
      <c r="D31" s="41">
        <f>SUM(D21:D30)</f>
        <v>13816.56</v>
      </c>
      <c r="E31" s="41">
        <f>SUM(E21:E30)</f>
        <v>28845.87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4053.78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370028.79999999999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603793.65999999992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603793.65999999992</v>
      </c>
      <c r="D50" s="41">
        <f>SUM(D34:D49)</f>
        <v>4053.78</v>
      </c>
      <c r="E50" s="41">
        <f>SUM(E34:E49)</f>
        <v>0</v>
      </c>
      <c r="F50" s="41">
        <f>SUM(F34:F49)</f>
        <v>0</v>
      </c>
      <c r="G50" s="41">
        <f>SUM(G34:G49)</f>
        <v>370028.79999999999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724003.84999999986</v>
      </c>
      <c r="D51" s="41">
        <f>D50+D31</f>
        <v>17870.34</v>
      </c>
      <c r="E51" s="41">
        <f>E50+E31</f>
        <v>28845.87</v>
      </c>
      <c r="F51" s="41">
        <f>F50+F31</f>
        <v>0</v>
      </c>
      <c r="G51" s="41">
        <f>G50+G31</f>
        <v>370028.79999999999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5455075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3030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4266.4799999999996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48270.83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14781.62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22078.1</v>
      </c>
      <c r="D62" s="130">
        <f>SUM(D57:D61)</f>
        <v>48270.83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5477153.0999999996</v>
      </c>
      <c r="D63" s="22">
        <f>D56+D62</f>
        <v>48270.83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1175316.3700000001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2135059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3310375.37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22876.2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22876.2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3310375.37</v>
      </c>
      <c r="D81" s="130">
        <f>SUM(D79:D80)+D78+D70</f>
        <v>22876.2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5950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111469.57</v>
      </c>
      <c r="D88" s="95">
        <f>SUM('DOE25'!G153:G161)</f>
        <v>107826.42</v>
      </c>
      <c r="E88" s="95">
        <f>SUM('DOE25'!H153:H161)</f>
        <v>117537.22999999998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111469.57</v>
      </c>
      <c r="D91" s="131">
        <f>SUM(D85:D90)</f>
        <v>107826.42</v>
      </c>
      <c r="E91" s="131">
        <f>SUM(E85:E90)</f>
        <v>123487.22999999998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67000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67000</v>
      </c>
    </row>
    <row r="104" spans="1:7" ht="12.75" thickTop="1" thickBot="1" x14ac:dyDescent="0.25">
      <c r="A104" s="33" t="s">
        <v>765</v>
      </c>
      <c r="C104" s="86">
        <f>C63+C81+C91+C103</f>
        <v>8898998.0399999991</v>
      </c>
      <c r="D104" s="86">
        <f>D63+D81+D91+D103</f>
        <v>178973.45</v>
      </c>
      <c r="E104" s="86">
        <f>E63+E81+E91+E103</f>
        <v>123487.22999999998</v>
      </c>
      <c r="F104" s="86">
        <f>F63+F81+F91+F103</f>
        <v>0</v>
      </c>
      <c r="G104" s="86">
        <f>G63+G81+G103</f>
        <v>67000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4660882.57</v>
      </c>
      <c r="D109" s="24" t="s">
        <v>289</v>
      </c>
      <c r="E109" s="95">
        <f>('DOE25'!L276)+('DOE25'!L295)+('DOE25'!L314)</f>
        <v>95952.2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1739772.0499999998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42964.93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6443619.5499999998</v>
      </c>
      <c r="D115" s="86">
        <f>SUM(D109:D114)</f>
        <v>0</v>
      </c>
      <c r="E115" s="86">
        <f>SUM(E109:E114)</f>
        <v>95952.2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256037.33999999997</v>
      </c>
      <c r="D118" s="24" t="s">
        <v>289</v>
      </c>
      <c r="E118" s="95">
        <f>+('DOE25'!L281)+('DOE25'!L300)+('DOE25'!L319)</f>
        <v>10119.59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121352.84999999999</v>
      </c>
      <c r="D119" s="24" t="s">
        <v>289</v>
      </c>
      <c r="E119" s="95">
        <f>+('DOE25'!L282)+('DOE25'!L301)+('DOE25'!L320)</f>
        <v>12500.44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551310.12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306871.52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4915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343556.01999999996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521542.33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35004.019999999997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174919.67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2135674.2000000002</v>
      </c>
      <c r="D128" s="86">
        <f>SUM(D118:D127)</f>
        <v>174919.67</v>
      </c>
      <c r="E128" s="86">
        <f>SUM(E118:E127)</f>
        <v>27535.03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42000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25000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67000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8646293.75</v>
      </c>
      <c r="D145" s="86">
        <f>(D115+D128+D144)</f>
        <v>174919.67</v>
      </c>
      <c r="E145" s="86">
        <f>(E115+E128+E144)</f>
        <v>123487.23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Wakefield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13388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13388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4756835</v>
      </c>
      <c r="D10" s="182">
        <f>ROUND((C10/$C$28)*100,1)</f>
        <v>53.9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1739772</v>
      </c>
      <c r="D11" s="182">
        <f>ROUND((C11/$C$28)*100,1)</f>
        <v>19.7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42965</v>
      </c>
      <c r="D13" s="182">
        <f>ROUND((C13/$C$28)*100,1)</f>
        <v>0.5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266157</v>
      </c>
      <c r="D15" s="182">
        <f t="shared" ref="D15:D27" si="0">ROUND((C15/$C$28)*100,1)</f>
        <v>3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133853</v>
      </c>
      <c r="D16" s="182">
        <f t="shared" si="0"/>
        <v>1.5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586314</v>
      </c>
      <c r="D17" s="182">
        <f t="shared" si="0"/>
        <v>6.6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306872</v>
      </c>
      <c r="D18" s="182">
        <f t="shared" si="0"/>
        <v>3.5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4915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343556</v>
      </c>
      <c r="D20" s="182">
        <f t="shared" si="0"/>
        <v>3.9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521542</v>
      </c>
      <c r="D21" s="182">
        <f t="shared" si="0"/>
        <v>5.9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126649.17</v>
      </c>
      <c r="D27" s="182">
        <f t="shared" si="0"/>
        <v>1.4</v>
      </c>
    </row>
    <row r="28" spans="1:4" x14ac:dyDescent="0.2">
      <c r="B28" s="187" t="s">
        <v>723</v>
      </c>
      <c r="C28" s="180">
        <f>SUM(C10:C27)</f>
        <v>8829430.1699999999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8829430.1699999999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5455075</v>
      </c>
      <c r="D35" s="182">
        <f t="shared" ref="D35:D40" si="1">ROUND((C35/$C$41)*100,1)</f>
        <v>59.6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22078.100000000559</v>
      </c>
      <c r="D36" s="182">
        <f t="shared" si="1"/>
        <v>0.2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3310375</v>
      </c>
      <c r="D37" s="182">
        <f t="shared" si="1"/>
        <v>36.200000000000003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22876</v>
      </c>
      <c r="D38" s="182">
        <f t="shared" si="1"/>
        <v>0.2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342783</v>
      </c>
      <c r="D39" s="182">
        <f t="shared" si="1"/>
        <v>3.7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9153187.1000000015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Wakefield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2016-09-29T13:18:57Z</cp:lastPrinted>
  <dcterms:created xsi:type="dcterms:W3CDTF">1997-12-04T19:04:30Z</dcterms:created>
  <dcterms:modified xsi:type="dcterms:W3CDTF">2016-09-29T13:21:21Z</dcterms:modified>
</cp:coreProperties>
</file>