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5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8" i="1" l="1"/>
  <c r="K204" i="1"/>
  <c r="H204" i="1"/>
  <c r="G204" i="1"/>
  <c r="F204" i="1"/>
  <c r="F44" i="1" l="1"/>
  <c r="F50" i="1"/>
  <c r="C21" i="12" l="1"/>
  <c r="C20" i="12"/>
  <c r="C19" i="12"/>
  <c r="B20" i="12"/>
  <c r="B10" i="12"/>
  <c r="C39" i="12"/>
  <c r="C38" i="12"/>
  <c r="C37" i="12"/>
  <c r="H604" i="1"/>
  <c r="J197" i="1"/>
  <c r="G440" i="1"/>
  <c r="H521" i="1" l="1"/>
  <c r="G459" i="1"/>
  <c r="J465" i="1"/>
  <c r="F465" i="1"/>
  <c r="H358" i="1" l="1"/>
  <c r="H282" i="1"/>
  <c r="H281" i="1"/>
  <c r="I276" i="1"/>
  <c r="H276" i="1"/>
  <c r="F276" i="1"/>
  <c r="H240" i="1"/>
  <c r="H234" i="1"/>
  <c r="H207" i="1"/>
  <c r="H202" i="1"/>
  <c r="H198" i="1"/>
  <c r="F198" i="1"/>
  <c r="I197" i="1"/>
  <c r="H197" i="1"/>
  <c r="H30" i="1" l="1"/>
  <c r="H13" i="1"/>
  <c r="H155" i="1"/>
  <c r="H102" i="1"/>
  <c r="H154" i="1"/>
  <c r="H150" i="1"/>
  <c r="G158" i="1" l="1"/>
  <c r="H29" i="1"/>
  <c r="H24" i="1"/>
  <c r="F36" i="1"/>
  <c r="F29" i="1"/>
  <c r="F24" i="1"/>
  <c r="F1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C20" i="10" s="1"/>
  <c r="L225" i="1"/>
  <c r="D14" i="13" s="1"/>
  <c r="C14" i="13" s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B18" i="12"/>
  <c r="B22" i="12"/>
  <c r="C18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I452" i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39" i="1"/>
  <c r="H639" i="1"/>
  <c r="J639" i="1" s="1"/>
  <c r="H640" i="1"/>
  <c r="G641" i="1"/>
  <c r="H641" i="1"/>
  <c r="J641" i="1" s="1"/>
  <c r="G643" i="1"/>
  <c r="H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F192" i="1"/>
  <c r="I257" i="1"/>
  <c r="L328" i="1"/>
  <c r="A31" i="12"/>
  <c r="D62" i="2"/>
  <c r="D63" i="2" s="1"/>
  <c r="C91" i="2"/>
  <c r="F78" i="2"/>
  <c r="D50" i="2"/>
  <c r="G161" i="2"/>
  <c r="D91" i="2"/>
  <c r="G62" i="2"/>
  <c r="D29" i="13"/>
  <c r="C29" i="13" s="1"/>
  <c r="D19" i="13"/>
  <c r="C19" i="13" s="1"/>
  <c r="E78" i="2"/>
  <c r="H112" i="1"/>
  <c r="L419" i="1"/>
  <c r="I169" i="1"/>
  <c r="G552" i="1"/>
  <c r="J476" i="1"/>
  <c r="H626" i="1" s="1"/>
  <c r="F476" i="1"/>
  <c r="H622" i="1" s="1"/>
  <c r="J622" i="1" s="1"/>
  <c r="G476" i="1"/>
  <c r="H623" i="1" s="1"/>
  <c r="J623" i="1" s="1"/>
  <c r="G338" i="1"/>
  <c r="G352" i="1" s="1"/>
  <c r="J140" i="1"/>
  <c r="H257" i="1"/>
  <c r="H271" i="1" s="1"/>
  <c r="K550" i="1"/>
  <c r="G22" i="2"/>
  <c r="J552" i="1"/>
  <c r="H140" i="1"/>
  <c r="F22" i="13"/>
  <c r="C22" i="13" s="1"/>
  <c r="F338" i="1"/>
  <c r="F352" i="1" s="1"/>
  <c r="H192" i="1"/>
  <c r="J655" i="1"/>
  <c r="L570" i="1"/>
  <c r="I571" i="1"/>
  <c r="G36" i="2"/>
  <c r="K257" i="1" l="1"/>
  <c r="K271" i="1" s="1"/>
  <c r="L229" i="1"/>
  <c r="C17" i="10"/>
  <c r="C22" i="12"/>
  <c r="C12" i="12"/>
  <c r="C11" i="12"/>
  <c r="C10" i="12"/>
  <c r="C13" i="12" s="1"/>
  <c r="A13" i="12" s="1"/>
  <c r="J624" i="1"/>
  <c r="K598" i="1"/>
  <c r="G647" i="1" s="1"/>
  <c r="J651" i="1"/>
  <c r="H545" i="1"/>
  <c r="H552" i="1"/>
  <c r="L524" i="1"/>
  <c r="K545" i="1"/>
  <c r="I545" i="1"/>
  <c r="G545" i="1"/>
  <c r="K549" i="1"/>
  <c r="K551" i="1"/>
  <c r="I461" i="1"/>
  <c r="H642" i="1" s="1"/>
  <c r="I446" i="1"/>
  <c r="G642" i="1" s="1"/>
  <c r="C21" i="10"/>
  <c r="L270" i="1"/>
  <c r="C12" i="10"/>
  <c r="G257" i="1"/>
  <c r="G271" i="1" s="1"/>
  <c r="F257" i="1"/>
  <c r="F271" i="1" s="1"/>
  <c r="L211" i="1"/>
  <c r="L257" i="1" s="1"/>
  <c r="L271" i="1" s="1"/>
  <c r="G632" i="1" s="1"/>
  <c r="J632" i="1" s="1"/>
  <c r="J645" i="1"/>
  <c r="F112" i="1"/>
  <c r="H52" i="1"/>
  <c r="H619" i="1" s="1"/>
  <c r="J619" i="1" s="1"/>
  <c r="E31" i="2"/>
  <c r="J617" i="1"/>
  <c r="C18" i="2"/>
  <c r="E128" i="2"/>
  <c r="C16" i="13"/>
  <c r="C81" i="2"/>
  <c r="H660" i="1"/>
  <c r="H664" i="1" s="1"/>
  <c r="H667" i="1" s="1"/>
  <c r="E13" i="13"/>
  <c r="C13" i="13" s="1"/>
  <c r="E8" i="13"/>
  <c r="C8" i="13" s="1"/>
  <c r="D12" i="13"/>
  <c r="C12" i="13" s="1"/>
  <c r="L290" i="1"/>
  <c r="L338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C27" i="10"/>
  <c r="G635" i="1"/>
  <c r="J635" i="1" s="1"/>
  <c r="J647" i="1" l="1"/>
  <c r="C128" i="2"/>
  <c r="K552" i="1"/>
  <c r="J642" i="1"/>
  <c r="H646" i="1"/>
  <c r="D31" i="13"/>
  <c r="C31" i="13" s="1"/>
  <c r="E145" i="2"/>
  <c r="H648" i="1"/>
  <c r="J648" i="1" s="1"/>
  <c r="H672" i="1"/>
  <c r="C6" i="10" s="1"/>
  <c r="G667" i="1"/>
  <c r="F660" i="1"/>
  <c r="I660" i="1" s="1"/>
  <c r="I664" i="1" s="1"/>
  <c r="I672" i="1" s="1"/>
  <c r="C7" i="10" s="1"/>
  <c r="C28" i="10"/>
  <c r="D22" i="10" s="1"/>
  <c r="G104" i="2"/>
  <c r="E51" i="2"/>
  <c r="L352" i="1"/>
  <c r="G633" i="1" s="1"/>
  <c r="J633" i="1" s="1"/>
  <c r="C25" i="13"/>
  <c r="H33" i="13"/>
  <c r="E33" i="13"/>
  <c r="D35" i="13" s="1"/>
  <c r="L545" i="1"/>
  <c r="C145" i="2"/>
  <c r="C63" i="2"/>
  <c r="C104" i="2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D10" i="10"/>
  <c r="D26" i="10"/>
  <c r="D16" i="10"/>
  <c r="D20" i="10"/>
  <c r="D15" i="10"/>
  <c r="D24" i="10"/>
  <c r="D13" i="10"/>
  <c r="D17" i="10"/>
  <c r="D23" i="10"/>
  <c r="D27" i="10"/>
  <c r="D18" i="10"/>
  <c r="C30" i="10"/>
  <c r="D25" i="10"/>
  <c r="D12" i="10"/>
  <c r="D19" i="10"/>
  <c r="D11" i="10"/>
  <c r="D21" i="10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<sst xmlns="http://schemas.openxmlformats.org/spreadsheetml/2006/main" count="3955" uniqueCount="913">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</sst>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549</v>
      </c>
      <c r="C2" s="21">
        <v>549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233692.04+250</f>
        <v>233942.04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19119.530000000002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61964.28</v>
      </c>
      <c r="G12" s="18">
        <v>8262.68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6746.53</v>
      </c>
      <c r="G13" s="18">
        <v>2706.42</v>
      </c>
      <c r="H13" s="18">
        <f>85257.14+4589.4</f>
        <v>89846.54</v>
      </c>
      <c r="I13" s="18"/>
      <c r="J13" s="67">
        <f>SUM(I442)</f>
        <v>25000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7750.67</f>
        <v>7750.67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1873.4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312276.92000000004</v>
      </c>
      <c r="G19" s="41">
        <f>SUM(G9:G18)</f>
        <v>10969.1</v>
      </c>
      <c r="H19" s="41">
        <f>SUM(H9:H18)</f>
        <v>89846.54</v>
      </c>
      <c r="I19" s="41">
        <f>SUM(I9:I18)</f>
        <v>0</v>
      </c>
      <c r="J19" s="41">
        <f>SUM(J9:J18)</f>
        <v>44119.53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70226.960000000006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254113.45+1696.46</f>
        <v>255809.91</v>
      </c>
      <c r="G24" s="18">
        <v>10969.1</v>
      </c>
      <c r="H24" s="18">
        <f>1541.66+2127.73</f>
        <v>3669.3900000000003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2126.52-8492.88-3129.61+17716.72+2999.28+4736.04-920+40.34</f>
        <v>15076.410000000003</v>
      </c>
      <c r="G29" s="18"/>
      <c r="H29" s="18">
        <f>-19.54+46.34+2516.11+55.6+425.34+1.4+5.84</f>
        <v>3031.0900000000006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23405-10560.9</f>
        <v>12844.1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270886.32</v>
      </c>
      <c r="G32" s="41">
        <f>SUM(G22:G31)</f>
        <v>10969.1</v>
      </c>
      <c r="H32" s="41">
        <f>SUM(H22:H31)</f>
        <v>89771.540000000008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1873.4</f>
        <v>1873.4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5000+10000</f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75</v>
      </c>
      <c r="I48" s="18"/>
      <c r="J48" s="13">
        <f>SUM(I459)</f>
        <v>44119.53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136047.03-95.9+(2136001.47-2232435.4)-(5000+10000)</f>
        <v>24517.200000000303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41390.600000000304</v>
      </c>
      <c r="G51" s="41">
        <f>SUM(G35:G50)</f>
        <v>0</v>
      </c>
      <c r="H51" s="41">
        <f>SUM(H35:H50)</f>
        <v>75</v>
      </c>
      <c r="I51" s="41">
        <f>SUM(I35:I50)</f>
        <v>0</v>
      </c>
      <c r="J51" s="41">
        <f>SUM(J35:J50)</f>
        <v>44119.53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312276.92000000033</v>
      </c>
      <c r="G52" s="41">
        <f>G51+G32</f>
        <v>10969.1</v>
      </c>
      <c r="H52" s="41">
        <f>H51+H32</f>
        <v>89846.540000000008</v>
      </c>
      <c r="I52" s="41">
        <f>I51+I32</f>
        <v>0</v>
      </c>
      <c r="J52" s="41">
        <f>J51+J32</f>
        <v>44119.53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1190114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1190114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201.6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14430.95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9903.3+700+639.39+1137.94+201.59+3206.86+5722.37+8181.81</f>
        <v>29693.260000000002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13354.2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954.78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14510.580000000002</v>
      </c>
      <c r="G111" s="41">
        <f>SUM(G96:G110)</f>
        <v>14430.95</v>
      </c>
      <c r="H111" s="41">
        <f>SUM(H96:H110)</f>
        <v>29693.260000000002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1204824.58</v>
      </c>
      <c r="G112" s="41">
        <f>G60+G111</f>
        <v>14430.95</v>
      </c>
      <c r="H112" s="41">
        <f>H60+H79+H94+H111</f>
        <v>29693.260000000002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704690.25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157826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1537.95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864054.2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6202.98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16072.3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2287.52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419.62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24562.799999999999</v>
      </c>
      <c r="G136" s="41">
        <f>SUM(G123:G135)</f>
        <v>419.62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888617</v>
      </c>
      <c r="G140" s="41">
        <f>G121+SUM(G136:G137)</f>
        <v>419.62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187.5+4504.23+924.63+1.74+7.59+358.85+705.86</f>
        <v>6690.4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28638+1712.5+5971+11.66+50.83+2453.05+4488+3182.32+289.58+6405.01+39.9+3850.32+1049</f>
        <v>58141.170000000013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211.98+3837.89+2950+100.04+128.17+500+2360.71+2904.08+222.17+23.22+305+1197+54000.24+5202.7+16306.05+(1541.66)</f>
        <v>91790.91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3393.93+24726.28</f>
        <v>28120.21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33261.1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33261.1</v>
      </c>
      <c r="G162" s="41">
        <f>SUM(G150:G161)</f>
        <v>28120.21</v>
      </c>
      <c r="H162" s="41">
        <f>SUM(H150:H161)</f>
        <v>156622.48000000001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9298.7900000000009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42559.89</v>
      </c>
      <c r="G169" s="41">
        <f>G147+G162+SUM(G163:G168)</f>
        <v>28120.21</v>
      </c>
      <c r="H169" s="41">
        <f>H147+H162+SUM(H163:H168)</f>
        <v>156622.48000000001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22878.78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22878.78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22878.78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2136001.4700000002</v>
      </c>
      <c r="G193" s="47">
        <f>G112+G140+G169+G192</f>
        <v>65849.56</v>
      </c>
      <c r="H193" s="47">
        <f>H112+H140+H169+H192</f>
        <v>186315.74000000002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455100.38</v>
      </c>
      <c r="G197" s="18">
        <v>270349.28999999998</v>
      </c>
      <c r="H197" s="18">
        <f>44198.15+165.77</f>
        <v>44363.92</v>
      </c>
      <c r="I197" s="18">
        <f>41517.57</f>
        <v>41517.57</v>
      </c>
      <c r="J197" s="18">
        <f>12510.54</f>
        <v>12510.54</v>
      </c>
      <c r="K197" s="18">
        <v>942.48</v>
      </c>
      <c r="L197" s="19">
        <f>SUM(F197:K197)</f>
        <v>824784.17999999993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135067.12</f>
        <v>135067.12</v>
      </c>
      <c r="G198" s="18">
        <v>39143.339999999997</v>
      </c>
      <c r="H198" s="18">
        <f>3795.86+45578.43</f>
        <v>49374.29</v>
      </c>
      <c r="I198" s="18">
        <v>349.42</v>
      </c>
      <c r="J198" s="18">
        <v>4247.8999999999996</v>
      </c>
      <c r="K198" s="18">
        <v>42.32</v>
      </c>
      <c r="L198" s="19">
        <f>SUM(F198:K198)</f>
        <v>228224.39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3730.41</v>
      </c>
      <c r="G200" s="18">
        <v>1064.67</v>
      </c>
      <c r="H200" s="18">
        <v>400</v>
      </c>
      <c r="I200" s="18">
        <v>1090.46</v>
      </c>
      <c r="J200" s="18">
        <v>749.18</v>
      </c>
      <c r="K200" s="18">
        <v>585.79</v>
      </c>
      <c r="L200" s="19">
        <f>SUM(F200:K200)</f>
        <v>7620.51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44581.35</v>
      </c>
      <c r="G202" s="18">
        <v>8378.7999999999993</v>
      </c>
      <c r="H202" s="18">
        <f>63891.53+692</f>
        <v>64583.53</v>
      </c>
      <c r="I202" s="18">
        <v>3335.82</v>
      </c>
      <c r="J202" s="18"/>
      <c r="K202" s="18">
        <v>3562.66</v>
      </c>
      <c r="L202" s="19">
        <f t="shared" ref="L202:L208" si="0">SUM(F202:K202)</f>
        <v>124442.16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15874.81</v>
      </c>
      <c r="G203" s="18">
        <v>11457.16</v>
      </c>
      <c r="H203" s="18">
        <v>177.68</v>
      </c>
      <c r="I203" s="18">
        <v>1079.29</v>
      </c>
      <c r="J203" s="18">
        <v>812.72</v>
      </c>
      <c r="K203" s="18"/>
      <c r="L203" s="19">
        <f t="shared" si="0"/>
        <v>29401.660000000003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1305+296.5</f>
        <v>1601.5</v>
      </c>
      <c r="G204" s="18">
        <f>99.75+22.73</f>
        <v>122.48</v>
      </c>
      <c r="H204" s="18">
        <f>75502.69+2833.16+7630.36</f>
        <v>85966.21</v>
      </c>
      <c r="I204" s="18">
        <v>129.68</v>
      </c>
      <c r="J204" s="18"/>
      <c r="K204" s="18">
        <f>1568.78+70.24</f>
        <v>1639.02</v>
      </c>
      <c r="L204" s="19">
        <f t="shared" si="0"/>
        <v>89458.89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84897.63</v>
      </c>
      <c r="G205" s="18">
        <v>51413.33</v>
      </c>
      <c r="H205" s="18">
        <v>1971.98</v>
      </c>
      <c r="I205" s="18">
        <v>2311.54</v>
      </c>
      <c r="J205" s="18"/>
      <c r="K205" s="18">
        <v>479</v>
      </c>
      <c r="L205" s="19">
        <f t="shared" si="0"/>
        <v>141073.48000000004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29799.27</v>
      </c>
      <c r="G207" s="18">
        <v>6106.37</v>
      </c>
      <c r="H207" s="18">
        <f>17341.6+1249</f>
        <v>18590.599999999999</v>
      </c>
      <c r="I207" s="18">
        <v>35101.69</v>
      </c>
      <c r="J207" s="18">
        <v>6532.23</v>
      </c>
      <c r="K207" s="18"/>
      <c r="L207" s="19">
        <f t="shared" si="0"/>
        <v>96130.159999999989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81529.75+5200.45</f>
        <v>86730.2</v>
      </c>
      <c r="I208" s="18"/>
      <c r="J208" s="18"/>
      <c r="K208" s="18"/>
      <c r="L208" s="19">
        <f t="shared" si="0"/>
        <v>86730.2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3281.5</v>
      </c>
      <c r="H209" s="18">
        <v>1521.05</v>
      </c>
      <c r="I209" s="18">
        <v>417.99</v>
      </c>
      <c r="J209" s="18"/>
      <c r="K209" s="18">
        <v>747.14</v>
      </c>
      <c r="L209" s="19">
        <f>SUM(F209:K209)</f>
        <v>5967.68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770652.47000000009</v>
      </c>
      <c r="G211" s="41">
        <f t="shared" si="1"/>
        <v>391316.93999999994</v>
      </c>
      <c r="H211" s="41">
        <f t="shared" si="1"/>
        <v>353679.46</v>
      </c>
      <c r="I211" s="41">
        <f t="shared" si="1"/>
        <v>85333.46</v>
      </c>
      <c r="J211" s="41">
        <f t="shared" si="1"/>
        <v>24852.570000000003</v>
      </c>
      <c r="K211" s="41">
        <f t="shared" si="1"/>
        <v>7998.4100000000008</v>
      </c>
      <c r="L211" s="41">
        <f t="shared" si="1"/>
        <v>1633833.3099999994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418600</v>
      </c>
      <c r="I233" s="18"/>
      <c r="J233" s="18"/>
      <c r="K233" s="18"/>
      <c r="L233" s="19">
        <f>SUM(F233:K233)</f>
        <v>418600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1140+46939.14</f>
        <v>48079.14</v>
      </c>
      <c r="I234" s="18"/>
      <c r="J234" s="18"/>
      <c r="K234" s="18"/>
      <c r="L234" s="19">
        <f>SUM(F234:K234)</f>
        <v>48079.14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15890.97</v>
      </c>
      <c r="I235" s="18"/>
      <c r="J235" s="18"/>
      <c r="K235" s="18"/>
      <c r="L235" s="19">
        <f>SUM(F235:K235)</f>
        <v>15890.97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2152.8200000000002</v>
      </c>
      <c r="I236" s="18"/>
      <c r="J236" s="18"/>
      <c r="K236" s="18"/>
      <c r="L236" s="19">
        <f>SUM(F236:K236)</f>
        <v>2152.8200000000002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410</v>
      </c>
      <c r="I238" s="18"/>
      <c r="J238" s="18"/>
      <c r="K238" s="18"/>
      <c r="L238" s="19">
        <f t="shared" ref="L238:L244" si="4">SUM(F238:K238)</f>
        <v>410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573.5</v>
      </c>
      <c r="G240" s="18">
        <v>43.92</v>
      </c>
      <c r="H240" s="18">
        <f>34532.32+1202.25</f>
        <v>35734.57</v>
      </c>
      <c r="I240" s="18"/>
      <c r="J240" s="18"/>
      <c r="K240" s="18">
        <v>702.43</v>
      </c>
      <c r="L240" s="19">
        <f t="shared" si="4"/>
        <v>37054.42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28535.96</v>
      </c>
      <c r="I244" s="18"/>
      <c r="J244" s="18"/>
      <c r="K244" s="18"/>
      <c r="L244" s="19">
        <f t="shared" si="4"/>
        <v>28535.96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573.5</v>
      </c>
      <c r="G247" s="41">
        <f t="shared" si="5"/>
        <v>43.92</v>
      </c>
      <c r="H247" s="41">
        <f t="shared" si="5"/>
        <v>549403.46</v>
      </c>
      <c r="I247" s="41">
        <f t="shared" si="5"/>
        <v>0</v>
      </c>
      <c r="J247" s="41">
        <f t="shared" si="5"/>
        <v>0</v>
      </c>
      <c r="K247" s="41">
        <f t="shared" si="5"/>
        <v>702.43</v>
      </c>
      <c r="L247" s="41">
        <f t="shared" si="5"/>
        <v>550723.30999999994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771225.97000000009</v>
      </c>
      <c r="G257" s="41">
        <f t="shared" si="8"/>
        <v>391360.85999999993</v>
      </c>
      <c r="H257" s="41">
        <f t="shared" si="8"/>
        <v>903082.91999999993</v>
      </c>
      <c r="I257" s="41">
        <f t="shared" si="8"/>
        <v>85333.46</v>
      </c>
      <c r="J257" s="41">
        <f t="shared" si="8"/>
        <v>24852.570000000003</v>
      </c>
      <c r="K257" s="41">
        <f t="shared" si="8"/>
        <v>8700.84</v>
      </c>
      <c r="L257" s="41">
        <f t="shared" si="8"/>
        <v>2184556.6199999992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22878.78</v>
      </c>
      <c r="L263" s="19">
        <f>SUM(F263:K263)</f>
        <v>22878.78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47878.78</v>
      </c>
      <c r="L270" s="41">
        <f t="shared" si="9"/>
        <v>47878.78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771225.97000000009</v>
      </c>
      <c r="G271" s="42">
        <f t="shared" si="11"/>
        <v>391360.85999999993</v>
      </c>
      <c r="H271" s="42">
        <f t="shared" si="11"/>
        <v>903082.91999999993</v>
      </c>
      <c r="I271" s="42">
        <f t="shared" si="11"/>
        <v>85333.46</v>
      </c>
      <c r="J271" s="42">
        <f t="shared" si="11"/>
        <v>24852.570000000003</v>
      </c>
      <c r="K271" s="42">
        <f t="shared" si="11"/>
        <v>56579.619999999995</v>
      </c>
      <c r="L271" s="42">
        <f t="shared" si="11"/>
        <v>2232435.399999999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187.5+34854.73</f>
        <v>35042.230000000003</v>
      </c>
      <c r="G276" s="18">
        <v>14973.21</v>
      </c>
      <c r="H276" s="18">
        <f>3182.32+700</f>
        <v>3882.32</v>
      </c>
      <c r="I276" s="18">
        <f>9903.3+6946.47</f>
        <v>16849.77</v>
      </c>
      <c r="J276" s="18">
        <v>3850.32</v>
      </c>
      <c r="K276" s="18"/>
      <c r="L276" s="19">
        <f>SUM(F276:K276)</f>
        <v>74597.850000000006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6883.03</v>
      </c>
      <c r="G279" s="18">
        <v>1772</v>
      </c>
      <c r="H279" s="18">
        <v>500</v>
      </c>
      <c r="I279" s="18">
        <v>11629.93</v>
      </c>
      <c r="J279" s="18"/>
      <c r="K279" s="18"/>
      <c r="L279" s="19">
        <f>SUM(F279:K279)</f>
        <v>20784.96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750</v>
      </c>
      <c r="G281" s="18">
        <v>1216.78</v>
      </c>
      <c r="H281" s="18">
        <f>3533+2682.03</f>
        <v>6215.0300000000007</v>
      </c>
      <c r="I281" s="18"/>
      <c r="J281" s="18"/>
      <c r="K281" s="18"/>
      <c r="L281" s="19">
        <f t="shared" ref="L281:L287" si="12">SUM(F281:K281)</f>
        <v>8181.81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2904.08</v>
      </c>
      <c r="G282" s="18">
        <v>245.39</v>
      </c>
      <c r="H282" s="18">
        <f>3043.66</f>
        <v>3043.66</v>
      </c>
      <c r="I282" s="18"/>
      <c r="J282" s="18"/>
      <c r="K282" s="18"/>
      <c r="L282" s="19">
        <f t="shared" si="12"/>
        <v>6193.1299999999992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1049</v>
      </c>
      <c r="L283" s="19">
        <f t="shared" si="12"/>
        <v>1049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49954.8</v>
      </c>
      <c r="G284" s="18">
        <v>3406</v>
      </c>
      <c r="H284" s="18">
        <v>100</v>
      </c>
      <c r="I284" s="18">
        <v>293.05</v>
      </c>
      <c r="J284" s="18">
        <v>246.39</v>
      </c>
      <c r="K284" s="18"/>
      <c r="L284" s="19">
        <f t="shared" si="12"/>
        <v>54000.240000000005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21508.75</v>
      </c>
      <c r="I287" s="18"/>
      <c r="J287" s="18"/>
      <c r="K287" s="18"/>
      <c r="L287" s="19">
        <f t="shared" si="12"/>
        <v>21508.75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95534.140000000014</v>
      </c>
      <c r="G290" s="42">
        <f t="shared" si="13"/>
        <v>21613.379999999997</v>
      </c>
      <c r="H290" s="42">
        <f t="shared" si="13"/>
        <v>35249.760000000002</v>
      </c>
      <c r="I290" s="42">
        <f t="shared" si="13"/>
        <v>28772.75</v>
      </c>
      <c r="J290" s="42">
        <f t="shared" si="13"/>
        <v>4096.71</v>
      </c>
      <c r="K290" s="42">
        <f t="shared" si="13"/>
        <v>1049</v>
      </c>
      <c r="L290" s="41">
        <f t="shared" si="13"/>
        <v>186315.74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95534.140000000014</v>
      </c>
      <c r="G338" s="41">
        <f t="shared" si="20"/>
        <v>21613.379999999997</v>
      </c>
      <c r="H338" s="41">
        <f t="shared" si="20"/>
        <v>35249.760000000002</v>
      </c>
      <c r="I338" s="41">
        <f t="shared" si="20"/>
        <v>28772.75</v>
      </c>
      <c r="J338" s="41">
        <f t="shared" si="20"/>
        <v>4096.71</v>
      </c>
      <c r="K338" s="41">
        <f t="shared" si="20"/>
        <v>1049</v>
      </c>
      <c r="L338" s="41">
        <f t="shared" si="20"/>
        <v>186315.74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95534.140000000014</v>
      </c>
      <c r="G352" s="41">
        <f>G338</f>
        <v>21613.379999999997</v>
      </c>
      <c r="H352" s="41">
        <f>H338</f>
        <v>35249.760000000002</v>
      </c>
      <c r="I352" s="41">
        <f>I338</f>
        <v>28772.75</v>
      </c>
      <c r="J352" s="41">
        <f>J338</f>
        <v>4096.71</v>
      </c>
      <c r="K352" s="47">
        <f>K338+K351</f>
        <v>1049</v>
      </c>
      <c r="L352" s="41">
        <f>L338+L351</f>
        <v>186315.74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30.55</v>
      </c>
      <c r="G358" s="18">
        <v>2.33</v>
      </c>
      <c r="H358" s="18">
        <f>65330</f>
        <v>65330</v>
      </c>
      <c r="I358" s="18">
        <v>486.68</v>
      </c>
      <c r="J358" s="18"/>
      <c r="K358" s="18"/>
      <c r="L358" s="13">
        <f>SUM(F358:K358)</f>
        <v>65849.56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30.55</v>
      </c>
      <c r="G362" s="47">
        <f t="shared" si="22"/>
        <v>2.33</v>
      </c>
      <c r="H362" s="47">
        <f t="shared" si="22"/>
        <v>65330</v>
      </c>
      <c r="I362" s="47">
        <f t="shared" si="22"/>
        <v>486.68</v>
      </c>
      <c r="J362" s="47">
        <f t="shared" si="22"/>
        <v>0</v>
      </c>
      <c r="K362" s="47">
        <f t="shared" si="22"/>
        <v>0</v>
      </c>
      <c r="L362" s="47">
        <f t="shared" si="22"/>
        <v>65849.56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340.76</v>
      </c>
      <c r="G367" s="18"/>
      <c r="H367" s="18"/>
      <c r="I367" s="56">
        <f>SUM(F367:H367)</f>
        <v>340.76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145.91999999999999</v>
      </c>
      <c r="G368" s="63"/>
      <c r="H368" s="63"/>
      <c r="I368" s="56">
        <f>SUM(F368:H368)</f>
        <v>145.91999999999999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486.67999999999995</v>
      </c>
      <c r="G369" s="47">
        <f>SUM(G367:G368)</f>
        <v>0</v>
      </c>
      <c r="H369" s="47">
        <f>SUM(H367:H368)</f>
        <v>0</v>
      </c>
      <c r="I369" s="47">
        <f>SUM(I367:I368)</f>
        <v>486.67999999999995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/>
      <c r="I396" s="18"/>
      <c r="J396" s="24" t="s">
        <v>289</v>
      </c>
      <c r="K396" s="24" t="s">
        <v>289</v>
      </c>
      <c r="L396" s="56">
        <f t="shared" si="26"/>
        <v>10000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</v>
      </c>
      <c r="H399" s="18"/>
      <c r="I399" s="18"/>
      <c r="J399" s="24" t="s">
        <v>289</v>
      </c>
      <c r="K399" s="24" t="s">
        <v>289</v>
      </c>
      <c r="L399" s="56">
        <f t="shared" si="26"/>
        <v>5000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19113.38+6.15</f>
        <v>19119.530000000002</v>
      </c>
      <c r="H440" s="18"/>
      <c r="I440" s="56">
        <f t="shared" si="33"/>
        <v>19119.530000000002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25000</v>
      </c>
      <c r="H442" s="18"/>
      <c r="I442" s="56">
        <f t="shared" si="33"/>
        <v>25000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44119.53</v>
      </c>
      <c r="H446" s="13">
        <f>SUM(H439:H445)</f>
        <v>0</v>
      </c>
      <c r="I446" s="13">
        <f>SUM(I439:I445)</f>
        <v>44119.53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19119.53+25000</f>
        <v>44119.53</v>
      </c>
      <c r="H459" s="18"/>
      <c r="I459" s="56">
        <f t="shared" si="34"/>
        <v>44119.53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44119.53</v>
      </c>
      <c r="H460" s="83">
        <f>SUM(H454:H459)</f>
        <v>0</v>
      </c>
      <c r="I460" s="83">
        <f>SUM(I454:I459)</f>
        <v>44119.53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44119.53</v>
      </c>
      <c r="H461" s="42">
        <f>H452+H460</f>
        <v>0</v>
      </c>
      <c r="I461" s="42">
        <f>I452+I460</f>
        <v>44119.53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1777.5+17240.81+25000-153146.26+(2512448.56-2265496.08)</f>
        <v>137824.52999999997</v>
      </c>
      <c r="G465" s="18">
        <v>0</v>
      </c>
      <c r="H465" s="18">
        <v>75</v>
      </c>
      <c r="I465" s="18"/>
      <c r="J465" s="18">
        <f>53113.38+6.15-34000</f>
        <v>19119.53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2136001.4700000002</v>
      </c>
      <c r="G468" s="18">
        <v>65849.56</v>
      </c>
      <c r="H468" s="18">
        <v>186315.74</v>
      </c>
      <c r="I468" s="18"/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2136001.4700000002</v>
      </c>
      <c r="G470" s="53">
        <f>SUM(G468:G469)</f>
        <v>65849.56</v>
      </c>
      <c r="H470" s="53">
        <f>SUM(H468:H469)</f>
        <v>186315.74</v>
      </c>
      <c r="I470" s="53">
        <f>SUM(I468:I469)</f>
        <v>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2232435.4</v>
      </c>
      <c r="G472" s="18">
        <v>65849.56</v>
      </c>
      <c r="H472" s="18">
        <v>186315.74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2232435.4</v>
      </c>
      <c r="G474" s="53">
        <f>SUM(G472:G473)</f>
        <v>65849.56</v>
      </c>
      <c r="H474" s="53">
        <f>SUM(H472:H473)</f>
        <v>186315.74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41390.600000000093</v>
      </c>
      <c r="G476" s="53">
        <f>(G465+G470)- G474</f>
        <v>0</v>
      </c>
      <c r="H476" s="53">
        <f>(H465+H470)- H474</f>
        <v>75</v>
      </c>
      <c r="I476" s="53">
        <f>(I465+I470)- I474</f>
        <v>0</v>
      </c>
      <c r="J476" s="53">
        <f>(J465+J470)- J474</f>
        <v>44119.53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112150.6</v>
      </c>
      <c r="G521" s="18">
        <v>35233.32</v>
      </c>
      <c r="H521" s="18">
        <f>3795.86+45578.43</f>
        <v>49374.29</v>
      </c>
      <c r="I521" s="18">
        <v>349.42</v>
      </c>
      <c r="J521" s="18">
        <v>4247.8999999999996</v>
      </c>
      <c r="K521" s="18">
        <v>42.32</v>
      </c>
      <c r="L521" s="88">
        <f>SUM(F521:K521)</f>
        <v>201397.85000000003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48079.14</v>
      </c>
      <c r="I523" s="18"/>
      <c r="J523" s="18"/>
      <c r="K523" s="18"/>
      <c r="L523" s="88">
        <f>SUM(F523:K523)</f>
        <v>48079.14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112150.6</v>
      </c>
      <c r="G524" s="108">
        <f t="shared" ref="G524:L524" si="36">SUM(G521:G523)</f>
        <v>35233.32</v>
      </c>
      <c r="H524" s="108">
        <f t="shared" si="36"/>
        <v>97453.43</v>
      </c>
      <c r="I524" s="108">
        <f t="shared" si="36"/>
        <v>349.42</v>
      </c>
      <c r="J524" s="108">
        <f t="shared" si="36"/>
        <v>4247.8999999999996</v>
      </c>
      <c r="K524" s="108">
        <f t="shared" si="36"/>
        <v>42.32</v>
      </c>
      <c r="L524" s="89">
        <f t="shared" si="36"/>
        <v>249476.99000000005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49371.48</v>
      </c>
      <c r="I526" s="18"/>
      <c r="J526" s="18"/>
      <c r="K526" s="18"/>
      <c r="L526" s="88">
        <f>SUM(F526:K526)</f>
        <v>49371.48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410</v>
      </c>
      <c r="I528" s="18"/>
      <c r="J528" s="18"/>
      <c r="K528" s="18"/>
      <c r="L528" s="88">
        <f>SUM(F528:K528)</f>
        <v>410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49781.48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49781.48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12228.83</v>
      </c>
      <c r="I531" s="18"/>
      <c r="J531" s="18"/>
      <c r="K531" s="18"/>
      <c r="L531" s="88">
        <f>SUM(F531:K531)</f>
        <v>12228.83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3316.29</v>
      </c>
      <c r="I532" s="18"/>
      <c r="J532" s="18"/>
      <c r="K532" s="18"/>
      <c r="L532" s="88">
        <f>SUM(F532:K532)</f>
        <v>3316.29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5181.71</v>
      </c>
      <c r="I533" s="18"/>
      <c r="J533" s="18"/>
      <c r="K533" s="18"/>
      <c r="L533" s="88">
        <f>SUM(F533:K533)</f>
        <v>5181.71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20726.829999999998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20726.829999999998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600</v>
      </c>
      <c r="I541" s="18"/>
      <c r="J541" s="18"/>
      <c r="K541" s="18"/>
      <c r="L541" s="88">
        <f>SUM(F541:K541)</f>
        <v>600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112150.6</v>
      </c>
      <c r="G545" s="89">
        <f t="shared" ref="G545:L545" si="41">G524+G529+G534+G539+G544</f>
        <v>35233.32</v>
      </c>
      <c r="H545" s="89">
        <f t="shared" si="41"/>
        <v>168561.74</v>
      </c>
      <c r="I545" s="89">
        <f t="shared" si="41"/>
        <v>349.42</v>
      </c>
      <c r="J545" s="89">
        <f t="shared" si="41"/>
        <v>4247.8999999999996</v>
      </c>
      <c r="K545" s="89">
        <f t="shared" si="41"/>
        <v>42.32</v>
      </c>
      <c r="L545" s="89">
        <f t="shared" si="41"/>
        <v>320585.30000000005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201397.85000000003</v>
      </c>
      <c r="G549" s="87">
        <f>L526</f>
        <v>49371.48</v>
      </c>
      <c r="H549" s="87">
        <f>L531</f>
        <v>12228.83</v>
      </c>
      <c r="I549" s="87">
        <f>L536</f>
        <v>0</v>
      </c>
      <c r="J549" s="87">
        <f>L541</f>
        <v>600</v>
      </c>
      <c r="K549" s="87">
        <f>SUM(F549:J549)</f>
        <v>263598.16000000003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3316.29</v>
      </c>
      <c r="I550" s="87">
        <f>L537</f>
        <v>0</v>
      </c>
      <c r="J550" s="87">
        <f>L542</f>
        <v>0</v>
      </c>
      <c r="K550" s="87">
        <f>SUM(F550:J550)</f>
        <v>3316.29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48079.14</v>
      </c>
      <c r="G551" s="87">
        <f>L528</f>
        <v>410</v>
      </c>
      <c r="H551" s="87">
        <f>L533</f>
        <v>5181.71</v>
      </c>
      <c r="I551" s="87">
        <f>L538</f>
        <v>0</v>
      </c>
      <c r="J551" s="87">
        <f>L543</f>
        <v>0</v>
      </c>
      <c r="K551" s="87">
        <f>SUM(F551:J551)</f>
        <v>53670.85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249476.99000000005</v>
      </c>
      <c r="G552" s="89">
        <f t="shared" si="42"/>
        <v>49781.48</v>
      </c>
      <c r="H552" s="89">
        <f t="shared" si="42"/>
        <v>20726.829999999998</v>
      </c>
      <c r="I552" s="89">
        <f t="shared" si="42"/>
        <v>0</v>
      </c>
      <c r="J552" s="89">
        <f t="shared" si="42"/>
        <v>600</v>
      </c>
      <c r="K552" s="89">
        <f t="shared" si="42"/>
        <v>320585.3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336423.97</v>
      </c>
      <c r="I575" s="87">
        <f>SUM(F575:H575)</f>
        <v>336423.97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82176.03</v>
      </c>
      <c r="I576" s="87">
        <f t="shared" ref="I576:I587" si="47">SUM(F576:H576)</f>
        <v>82176.03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3570</v>
      </c>
      <c r="G579" s="18"/>
      <c r="H579" s="18">
        <v>34866.31</v>
      </c>
      <c r="I579" s="87">
        <f t="shared" si="47"/>
        <v>38436.31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519.83000000000004</v>
      </c>
      <c r="I580" s="87">
        <f t="shared" si="47"/>
        <v>519.83000000000004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41648.800000000003</v>
      </c>
      <c r="G582" s="18"/>
      <c r="H582" s="18">
        <v>11553</v>
      </c>
      <c r="I582" s="87">
        <f t="shared" si="47"/>
        <v>53201.8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15890.97</v>
      </c>
      <c r="I585" s="87">
        <f t="shared" si="47"/>
        <v>15890.97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75960</v>
      </c>
      <c r="I591" s="18"/>
      <c r="J591" s="18">
        <v>27715.23</v>
      </c>
      <c r="K591" s="104">
        <f t="shared" ref="K591:K597" si="48">SUM(H591:J591)</f>
        <v>103675.23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600</v>
      </c>
      <c r="I592" s="18"/>
      <c r="J592" s="18"/>
      <c r="K592" s="104">
        <f t="shared" si="48"/>
        <v>600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820.73</v>
      </c>
      <c r="K593" s="104">
        <f t="shared" si="48"/>
        <v>820.73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4969.75</v>
      </c>
      <c r="I595" s="18"/>
      <c r="J595" s="18"/>
      <c r="K595" s="104">
        <f t="shared" si="48"/>
        <v>4969.75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5200.45</v>
      </c>
      <c r="I597" s="18"/>
      <c r="J597" s="18"/>
      <c r="K597" s="104">
        <f t="shared" si="48"/>
        <v>5200.45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86730.2</v>
      </c>
      <c r="I598" s="108">
        <f>SUM(I591:I597)</f>
        <v>0</v>
      </c>
      <c r="J598" s="108">
        <f>SUM(J591:J597)</f>
        <v>28535.96</v>
      </c>
      <c r="K598" s="108">
        <f>SUM(K591:K597)</f>
        <v>115266.15999999999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28702.89+246.39</f>
        <v>28949.279999999999</v>
      </c>
      <c r="I604" s="18"/>
      <c r="J604" s="18"/>
      <c r="K604" s="104">
        <f>SUM(H604:J604)</f>
        <v>28949.279999999999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28949.279999999999</v>
      </c>
      <c r="I605" s="108">
        <f>SUM(I602:I604)</f>
        <v>0</v>
      </c>
      <c r="J605" s="108">
        <f>SUM(J602:J604)</f>
        <v>0</v>
      </c>
      <c r="K605" s="108">
        <f>SUM(K602:K604)</f>
        <v>28949.279999999999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5213.6400000000003</v>
      </c>
      <c r="G611" s="18">
        <v>577.21</v>
      </c>
      <c r="H611" s="18"/>
      <c r="I611" s="18">
        <v>481</v>
      </c>
      <c r="J611" s="18"/>
      <c r="K611" s="18"/>
      <c r="L611" s="88">
        <f>SUM(F611:K611)</f>
        <v>6271.85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2152.8200000000002</v>
      </c>
      <c r="I613" s="18"/>
      <c r="J613" s="18"/>
      <c r="K613" s="18"/>
      <c r="L613" s="88">
        <f>SUM(F613:K613)</f>
        <v>2152.8200000000002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5213.6400000000003</v>
      </c>
      <c r="G614" s="108">
        <f t="shared" si="49"/>
        <v>577.21</v>
      </c>
      <c r="H614" s="108">
        <f t="shared" si="49"/>
        <v>2152.8200000000002</v>
      </c>
      <c r="I614" s="108">
        <f t="shared" si="49"/>
        <v>481</v>
      </c>
      <c r="J614" s="108">
        <f t="shared" si="49"/>
        <v>0</v>
      </c>
      <c r="K614" s="108">
        <f t="shared" si="49"/>
        <v>0</v>
      </c>
      <c r="L614" s="89">
        <f t="shared" si="49"/>
        <v>8424.67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312276.92000000004</v>
      </c>
      <c r="H617" s="109">
        <f>SUM(F52)</f>
        <v>312276.92000000033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10969.1</v>
      </c>
      <c r="H618" s="109">
        <f>SUM(G52)</f>
        <v>10969.1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89846.54</v>
      </c>
      <c r="H619" s="109">
        <f>SUM(H52)</f>
        <v>89846.540000000008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44119.53</v>
      </c>
      <c r="H621" s="109">
        <f>SUM(J52)</f>
        <v>44119.53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41390.600000000304</v>
      </c>
      <c r="H622" s="109">
        <f>F476</f>
        <v>41390.600000000093</v>
      </c>
      <c r="I622" s="121" t="s">
        <v>101</v>
      </c>
      <c r="J622" s="109">
        <f t="shared" ref="J622:J655" si="50">G622-H622</f>
        <v>2.1100277081131935E-10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75</v>
      </c>
      <c r="H624" s="109">
        <f>H476</f>
        <v>75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44119.53</v>
      </c>
      <c r="H626" s="109">
        <f>J476</f>
        <v>44119.53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2136001.4700000002</v>
      </c>
      <c r="H627" s="104">
        <f>SUM(F468)</f>
        <v>2136001.4700000002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65849.56</v>
      </c>
      <c r="H628" s="104">
        <f>SUM(G468)</f>
        <v>65849.56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186315.74000000002</v>
      </c>
      <c r="H629" s="104">
        <f>SUM(H468)</f>
        <v>186315.74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2232435.399999999</v>
      </c>
      <c r="H632" s="104">
        <f>SUM(F472)</f>
        <v>2232435.4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186315.74</v>
      </c>
      <c r="H633" s="104">
        <f>SUM(H472)</f>
        <v>186315.74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486.68</v>
      </c>
      <c r="H634" s="104">
        <f>I369</f>
        <v>486.67999999999995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65849.56</v>
      </c>
      <c r="H635" s="104">
        <f>SUM(G472)</f>
        <v>65849.56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44119.53</v>
      </c>
      <c r="H640" s="104">
        <f>SUM(G461)</f>
        <v>44119.53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44119.53</v>
      </c>
      <c r="H642" s="104">
        <f>SUM(I461)</f>
        <v>44119.53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115266.15999999999</v>
      </c>
      <c r="H647" s="104">
        <f>L208+L226+L244</f>
        <v>115266.16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28949.279999999999</v>
      </c>
      <c r="H648" s="104">
        <f>(J257+J338)-(J255+J336)</f>
        <v>28949.280000000002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86730.2</v>
      </c>
      <c r="H649" s="104">
        <f>H598</f>
        <v>86730.2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28535.96</v>
      </c>
      <c r="H651" s="104">
        <f>J598</f>
        <v>28535.96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22878.78</v>
      </c>
      <c r="H652" s="104">
        <f>K263+K345</f>
        <v>22878.78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1885998.6099999994</v>
      </c>
      <c r="G660" s="19">
        <f>(L229+L309+L359)</f>
        <v>0</v>
      </c>
      <c r="H660" s="19">
        <f>(L247+L328+L360)</f>
        <v>550723.30999999994</v>
      </c>
      <c r="I660" s="19">
        <f>SUM(F660:H660)</f>
        <v>2436721.9199999995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14430.95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14430.95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108238.95</v>
      </c>
      <c r="G662" s="19">
        <f>(L226+L306)-(J226+J306)</f>
        <v>0</v>
      </c>
      <c r="H662" s="19">
        <f>(L244+L325)-(J244+J325)</f>
        <v>28535.96</v>
      </c>
      <c r="I662" s="19">
        <f>SUM(F662:H662)</f>
        <v>136774.91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80439.930000000008</v>
      </c>
      <c r="G663" s="199">
        <f>SUM(G575:G587)+SUM(I602:I604)+L612</f>
        <v>0</v>
      </c>
      <c r="H663" s="199">
        <f>SUM(H575:H587)+SUM(J602:J604)+L613</f>
        <v>483582.93</v>
      </c>
      <c r="I663" s="19">
        <f>SUM(F663:H663)</f>
        <v>564022.86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1682888.7799999993</v>
      </c>
      <c r="G664" s="19">
        <f>G660-SUM(G661:G663)</f>
        <v>0</v>
      </c>
      <c r="H664" s="19">
        <f>H660-SUM(H661:H663)</f>
        <v>38604.419999999925</v>
      </c>
      <c r="I664" s="19">
        <f>I660-SUM(I661:I663)</f>
        <v>1721493.1999999995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85.74</v>
      </c>
      <c r="G665" s="248"/>
      <c r="H665" s="248"/>
      <c r="I665" s="19">
        <f>SUM(F665:H665)</f>
        <v>85.74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19627.810000000001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20078.060000000001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-38604.42</v>
      </c>
      <c r="I669" s="19">
        <f>SUM(F669:H669)</f>
        <v>-38604.42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19627.810000000001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19627.810000000001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20" zoomScaleNormal="120" workbookViewId="0">
      <selection activeCell="B13" sqref="B13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Warren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490142.61</v>
      </c>
      <c r="C9" s="229">
        <f>'DOE25'!G197+'DOE25'!G215+'DOE25'!G233+'DOE25'!G276+'DOE25'!G295+'DOE25'!G314</f>
        <v>285322.5</v>
      </c>
    </row>
    <row r="10" spans="1:3" x14ac:dyDescent="0.2">
      <c r="A10" t="s">
        <v>779</v>
      </c>
      <c r="B10" s="240">
        <f>480200.08+187.5</f>
        <v>480387.58</v>
      </c>
      <c r="C10" s="240">
        <f>+(B10/$B$13)*285322.5</f>
        <v>279643.8883257875</v>
      </c>
    </row>
    <row r="11" spans="1:3" x14ac:dyDescent="0.2">
      <c r="A11" t="s">
        <v>780</v>
      </c>
      <c r="B11" s="240">
        <v>4318.18</v>
      </c>
      <c r="C11" s="240">
        <f>+(B11/$B$13)*285322.5</f>
        <v>2513.7049664994443</v>
      </c>
    </row>
    <row r="12" spans="1:3" x14ac:dyDescent="0.2">
      <c r="A12" t="s">
        <v>781</v>
      </c>
      <c r="B12" s="240">
        <v>5436.85</v>
      </c>
      <c r="C12" s="240">
        <f>+(B12/$B$13)*285322.5</f>
        <v>3164.9067077130881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490142.61</v>
      </c>
      <c r="C13" s="231">
        <f>SUM(C10:C12)</f>
        <v>285322.50000000006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135067.12</v>
      </c>
      <c r="C18" s="229">
        <f>'DOE25'!G198+'DOE25'!G216+'DOE25'!G234+'DOE25'!G277+'DOE25'!G296+'DOE25'!G315</f>
        <v>39143.339999999997</v>
      </c>
    </row>
    <row r="19" spans="1:3" x14ac:dyDescent="0.2">
      <c r="A19" t="s">
        <v>779</v>
      </c>
      <c r="B19" s="240">
        <v>49879.18</v>
      </c>
      <c r="C19" s="240">
        <f>+(B19/$B$22)*(35233.32+3910.02)</f>
        <v>14455.314525557365</v>
      </c>
    </row>
    <row r="20" spans="1:3" x14ac:dyDescent="0.2">
      <c r="A20" t="s">
        <v>780</v>
      </c>
      <c r="B20" s="240">
        <f>60903.27+22916.52</f>
        <v>83819.789999999994</v>
      </c>
      <c r="C20" s="240">
        <f>+(B20/$B$22)*(35233.32+3910.02)</f>
        <v>24291.526603207352</v>
      </c>
    </row>
    <row r="21" spans="1:3" x14ac:dyDescent="0.2">
      <c r="A21" t="s">
        <v>781</v>
      </c>
      <c r="B21" s="240">
        <v>1368.15</v>
      </c>
      <c r="C21" s="240">
        <f>+(B21/$B$22)*(35233.32+3910.02)</f>
        <v>396.49887123527918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135067.12</v>
      </c>
      <c r="C22" s="231">
        <f>SUM(C19:C21)</f>
        <v>39143.339999999997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10613.439999999999</v>
      </c>
      <c r="C36" s="235">
        <f>'DOE25'!G200+'DOE25'!G218+'DOE25'!G236+'DOE25'!G279+'DOE25'!G298+'DOE25'!G317</f>
        <v>2836.67</v>
      </c>
    </row>
    <row r="37" spans="1:3" x14ac:dyDescent="0.2">
      <c r="A37" t="s">
        <v>779</v>
      </c>
      <c r="B37" s="240">
        <v>8163.64</v>
      </c>
      <c r="C37" s="240">
        <f>+(B37/$B$40)*2836.67</f>
        <v>2181.908285984563</v>
      </c>
    </row>
    <row r="38" spans="1:3" x14ac:dyDescent="0.2">
      <c r="A38" t="s">
        <v>780</v>
      </c>
      <c r="B38" s="240">
        <v>639.39</v>
      </c>
      <c r="C38" s="240">
        <f>+(B38/$B$40)*2836.67</f>
        <v>170.89072264035036</v>
      </c>
    </row>
    <row r="39" spans="1:3" x14ac:dyDescent="0.2">
      <c r="A39" t="s">
        <v>781</v>
      </c>
      <c r="B39" s="240">
        <v>1810.41</v>
      </c>
      <c r="C39" s="240">
        <f>+(B39/$B$40)*2836.67</f>
        <v>483.8709913750867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10613.44</v>
      </c>
      <c r="C40" s="231">
        <f>SUM(C37:C39)</f>
        <v>2836.67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Warren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1545352.0099999998</v>
      </c>
      <c r="D5" s="20">
        <f>SUM('DOE25'!L197:L200)+SUM('DOE25'!L215:L218)+SUM('DOE25'!L233:L236)-F5-G5</f>
        <v>1526273.7999999996</v>
      </c>
      <c r="E5" s="243"/>
      <c r="F5" s="255">
        <f>SUM('DOE25'!J197:J200)+SUM('DOE25'!J215:J218)+SUM('DOE25'!J233:J236)</f>
        <v>17507.620000000003</v>
      </c>
      <c r="G5" s="53">
        <f>SUM('DOE25'!K197:K200)+SUM('DOE25'!K215:K218)+SUM('DOE25'!K233:K236)</f>
        <v>1570.5900000000001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124852.16</v>
      </c>
      <c r="D6" s="20">
        <f>'DOE25'!L202+'DOE25'!L220+'DOE25'!L238-F6-G6</f>
        <v>121289.5</v>
      </c>
      <c r="E6" s="243"/>
      <c r="F6" s="255">
        <f>'DOE25'!J202+'DOE25'!J220+'DOE25'!J238</f>
        <v>0</v>
      </c>
      <c r="G6" s="53">
        <f>'DOE25'!K202+'DOE25'!K220+'DOE25'!K238</f>
        <v>3562.66</v>
      </c>
      <c r="H6" s="259"/>
    </row>
    <row r="7" spans="1:9" x14ac:dyDescent="0.2">
      <c r="A7" s="32">
        <v>2200</v>
      </c>
      <c r="B7" t="s">
        <v>834</v>
      </c>
      <c r="C7" s="245">
        <f t="shared" si="0"/>
        <v>29401.660000000003</v>
      </c>
      <c r="D7" s="20">
        <f>'DOE25'!L203+'DOE25'!L221+'DOE25'!L239-F7-G7</f>
        <v>28588.940000000002</v>
      </c>
      <c r="E7" s="243"/>
      <c r="F7" s="255">
        <f>'DOE25'!J203+'DOE25'!J221+'DOE25'!J239</f>
        <v>812.72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102476.12</v>
      </c>
      <c r="D8" s="243"/>
      <c r="E8" s="20">
        <f>'DOE25'!L204+'DOE25'!L222+'DOE25'!L240-F8-G8-D9-D11</f>
        <v>100134.67</v>
      </c>
      <c r="F8" s="255">
        <f>'DOE25'!J204+'DOE25'!J222+'DOE25'!J240</f>
        <v>0</v>
      </c>
      <c r="G8" s="53">
        <f>'DOE25'!K204+'DOE25'!K222+'DOE25'!K240</f>
        <v>2341.4499999999998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5052.1899999999996</v>
      </c>
      <c r="D9" s="244">
        <v>5052.1899999999996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17037.509999999998</v>
      </c>
      <c r="D10" s="243"/>
      <c r="E10" s="244">
        <v>17037.509999999998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18985</v>
      </c>
      <c r="D11" s="244">
        <v>18985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141073.48000000004</v>
      </c>
      <c r="D12" s="20">
        <f>'DOE25'!L205+'DOE25'!L223+'DOE25'!L241-F12-G12</f>
        <v>140594.48000000004</v>
      </c>
      <c r="E12" s="243"/>
      <c r="F12" s="255">
        <f>'DOE25'!J205+'DOE25'!J223+'DOE25'!J241</f>
        <v>0</v>
      </c>
      <c r="G12" s="53">
        <f>'DOE25'!K205+'DOE25'!K223+'DOE25'!K241</f>
        <v>479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96130.159999999989</v>
      </c>
      <c r="D14" s="20">
        <f>'DOE25'!L207+'DOE25'!L225+'DOE25'!L243-F14-G14</f>
        <v>89597.93</v>
      </c>
      <c r="E14" s="243"/>
      <c r="F14" s="255">
        <f>'DOE25'!J207+'DOE25'!J225+'DOE25'!J243</f>
        <v>6532.23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115266.16</v>
      </c>
      <c r="D15" s="20">
        <f>'DOE25'!L208+'DOE25'!L226+'DOE25'!L244-F15-G15</f>
        <v>115266.16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5967.68</v>
      </c>
      <c r="D16" s="243"/>
      <c r="E16" s="20">
        <f>'DOE25'!L209+'DOE25'!L227+'DOE25'!L245-F16-G16</f>
        <v>5220.54</v>
      </c>
      <c r="F16" s="255">
        <f>'DOE25'!J209+'DOE25'!J227+'DOE25'!J245</f>
        <v>0</v>
      </c>
      <c r="G16" s="53">
        <f>'DOE25'!K209+'DOE25'!K227+'DOE25'!K245</f>
        <v>747.14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65508.799999999996</v>
      </c>
      <c r="D29" s="20">
        <f>'DOE25'!L358+'DOE25'!L359+'DOE25'!L360-'DOE25'!I367-F29-G29</f>
        <v>65508.799999999996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186315.74</v>
      </c>
      <c r="D31" s="20">
        <f>'DOE25'!L290+'DOE25'!L309+'DOE25'!L328+'DOE25'!L333+'DOE25'!L334+'DOE25'!L335-F31-G31</f>
        <v>181170.03</v>
      </c>
      <c r="E31" s="243"/>
      <c r="F31" s="255">
        <f>'DOE25'!J290+'DOE25'!J309+'DOE25'!J328+'DOE25'!J333+'DOE25'!J334+'DOE25'!J335</f>
        <v>4096.71</v>
      </c>
      <c r="G31" s="53">
        <f>'DOE25'!K290+'DOE25'!K309+'DOE25'!K328+'DOE25'!K333+'DOE25'!K334+'DOE25'!K335</f>
        <v>1049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2292326.8299999991</v>
      </c>
      <c r="E33" s="246">
        <f>SUM(E5:E31)</f>
        <v>122392.71999999999</v>
      </c>
      <c r="F33" s="246">
        <f>SUM(F5:F31)</f>
        <v>28949.280000000002</v>
      </c>
      <c r="G33" s="246">
        <f>SUM(G5:G31)</f>
        <v>9749.84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122392.71999999999</v>
      </c>
      <c r="E35" s="249"/>
    </row>
    <row r="36" spans="2:8" ht="12" thickTop="1" x14ac:dyDescent="0.2">
      <c r="B36" t="s">
        <v>815</v>
      </c>
      <c r="D36" s="20">
        <f>D33</f>
        <v>2292326.8299999991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24" activePane="bottomLeft" state="frozen"/>
      <selection activeCell="F46" sqref="F46"/>
      <selection pane="bottomLeft" activeCell="C50" sqref="C50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233942.04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19119.530000000002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61964.28</v>
      </c>
      <c r="D11" s="95">
        <f>'DOE25'!G12</f>
        <v>8262.68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6746.53</v>
      </c>
      <c r="D12" s="95">
        <f>'DOE25'!G13</f>
        <v>2706.42</v>
      </c>
      <c r="E12" s="95">
        <f>'DOE25'!H13</f>
        <v>89846.54</v>
      </c>
      <c r="F12" s="95">
        <f>'DOE25'!I13</f>
        <v>0</v>
      </c>
      <c r="G12" s="95">
        <f>'DOE25'!J13</f>
        <v>25000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7750.67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1873.4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312276.92000000004</v>
      </c>
      <c r="D18" s="41">
        <f>SUM(D8:D17)</f>
        <v>10969.1</v>
      </c>
      <c r="E18" s="41">
        <f>SUM(E8:E17)</f>
        <v>89846.54</v>
      </c>
      <c r="F18" s="41">
        <f>SUM(F8:F17)</f>
        <v>0</v>
      </c>
      <c r="G18" s="41">
        <f>SUM(G8:G17)</f>
        <v>44119.53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70226.960000000006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255809.91</v>
      </c>
      <c r="D23" s="95">
        <f>'DOE25'!G24</f>
        <v>10969.1</v>
      </c>
      <c r="E23" s="95">
        <f>'DOE25'!H24</f>
        <v>3669.3900000000003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15076.410000000003</v>
      </c>
      <c r="D28" s="95">
        <f>'DOE25'!G29</f>
        <v>0</v>
      </c>
      <c r="E28" s="95">
        <f>'DOE25'!H29</f>
        <v>3031.0900000000006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12844.1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270886.32</v>
      </c>
      <c r="D31" s="41">
        <f>SUM(D21:D30)</f>
        <v>10969.1</v>
      </c>
      <c r="E31" s="41">
        <f>SUM(E21:E30)</f>
        <v>89771.540000000008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1873.4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75</v>
      </c>
      <c r="F47" s="95">
        <f>'DOE25'!I48</f>
        <v>0</v>
      </c>
      <c r="G47" s="95">
        <f>'DOE25'!J48</f>
        <v>44119.53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24517.200000000303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41390.600000000304</v>
      </c>
      <c r="D50" s="41">
        <f>SUM(D34:D49)</f>
        <v>0</v>
      </c>
      <c r="E50" s="41">
        <f>SUM(E34:E49)</f>
        <v>75</v>
      </c>
      <c r="F50" s="41">
        <f>SUM(F34:F49)</f>
        <v>0</v>
      </c>
      <c r="G50" s="41">
        <f>SUM(G34:G49)</f>
        <v>44119.53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312276.92000000033</v>
      </c>
      <c r="D51" s="41">
        <f>D50+D31</f>
        <v>10969.1</v>
      </c>
      <c r="E51" s="41">
        <f>E50+E31</f>
        <v>89846.540000000008</v>
      </c>
      <c r="F51" s="41">
        <f>F50+F31</f>
        <v>0</v>
      </c>
      <c r="G51" s="41">
        <f>G50+G31</f>
        <v>44119.53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1190114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201.6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14430.95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14308.980000000001</v>
      </c>
      <c r="D61" s="95">
        <f>SUM('DOE25'!G98:G110)</f>
        <v>0</v>
      </c>
      <c r="E61" s="95">
        <f>SUM('DOE25'!H98:H110)</f>
        <v>29693.260000000002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14710.580000000002</v>
      </c>
      <c r="D62" s="130">
        <f>SUM(D57:D61)</f>
        <v>14430.95</v>
      </c>
      <c r="E62" s="130">
        <f>SUM(E57:E61)</f>
        <v>29693.260000000002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1204824.58</v>
      </c>
      <c r="D63" s="22">
        <f>D56+D62</f>
        <v>14430.95</v>
      </c>
      <c r="E63" s="22">
        <f>E56+E62</f>
        <v>29693.260000000002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704690.25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157826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1537.95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864054.2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6202.98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18359.82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419.62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24562.799999999999</v>
      </c>
      <c r="D78" s="130">
        <f>SUM(D72:D77)</f>
        <v>419.62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888617</v>
      </c>
      <c r="D81" s="130">
        <f>SUM(D79:D80)+D78+D70</f>
        <v>419.62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6690.4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33261.1</v>
      </c>
      <c r="D88" s="95">
        <f>SUM('DOE25'!G153:G161)</f>
        <v>28120.21</v>
      </c>
      <c r="E88" s="95">
        <f>SUM('DOE25'!H153:H161)</f>
        <v>149932.08000000002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9298.7900000000009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42559.89</v>
      </c>
      <c r="D91" s="131">
        <f>SUM(D85:D90)</f>
        <v>28120.21</v>
      </c>
      <c r="E91" s="131">
        <f>SUM(E85:E90)</f>
        <v>156622.48000000001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22878.78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22878.78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2136001.4700000002</v>
      </c>
      <c r="D104" s="86">
        <f>D63+D81+D91+D103</f>
        <v>65849.56</v>
      </c>
      <c r="E104" s="86">
        <f>E63+E81+E91+E103</f>
        <v>186315.74000000002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1243384.18</v>
      </c>
      <c r="D109" s="24" t="s">
        <v>289</v>
      </c>
      <c r="E109" s="95">
        <f>('DOE25'!L276)+('DOE25'!L295)+('DOE25'!L314)</f>
        <v>74597.850000000006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276303.53000000003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15890.97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9773.33</v>
      </c>
      <c r="D112" s="24" t="s">
        <v>289</v>
      </c>
      <c r="E112" s="95">
        <f>+('DOE25'!L279)+('DOE25'!L298)+('DOE25'!L317)</f>
        <v>20784.96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1545352.01</v>
      </c>
      <c r="D115" s="86">
        <f>SUM(D109:D114)</f>
        <v>0</v>
      </c>
      <c r="E115" s="86">
        <f>SUM(E109:E114)</f>
        <v>95382.81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124852.16</v>
      </c>
      <c r="D118" s="24" t="s">
        <v>289</v>
      </c>
      <c r="E118" s="95">
        <f>+('DOE25'!L281)+('DOE25'!L300)+('DOE25'!L319)</f>
        <v>8181.81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29401.660000000003</v>
      </c>
      <c r="D119" s="24" t="s">
        <v>289</v>
      </c>
      <c r="E119" s="95">
        <f>+('DOE25'!L282)+('DOE25'!L301)+('DOE25'!L320)</f>
        <v>6193.1299999999992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126513.31</v>
      </c>
      <c r="D120" s="24" t="s">
        <v>289</v>
      </c>
      <c r="E120" s="95">
        <f>+('DOE25'!L283)+('DOE25'!L302)+('DOE25'!L321)</f>
        <v>1049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141073.48000000004</v>
      </c>
      <c r="D121" s="24" t="s">
        <v>289</v>
      </c>
      <c r="E121" s="95">
        <f>+('DOE25'!L284)+('DOE25'!L303)+('DOE25'!L322)</f>
        <v>54000.240000000005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96130.159999999989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115266.16</v>
      </c>
      <c r="D124" s="24" t="s">
        <v>289</v>
      </c>
      <c r="E124" s="95">
        <f>+('DOE25'!L287)+('DOE25'!L306)+('DOE25'!L325)</f>
        <v>21508.75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5967.68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65849.56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639204.6100000001</v>
      </c>
      <c r="D128" s="86">
        <f>SUM(D118:D127)</f>
        <v>65849.56</v>
      </c>
      <c r="E128" s="86">
        <f>SUM(E118:E127)</f>
        <v>90932.930000000008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22878.78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47878.78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2232435.4</v>
      </c>
      <c r="D145" s="86">
        <f>(D115+D128+D144)</f>
        <v>65849.56</v>
      </c>
      <c r="E145" s="86">
        <f>(E115+E128+E144)</f>
        <v>186315.74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Warren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19628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19628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1317982</v>
      </c>
      <c r="D10" s="182">
        <f>ROUND((C10/$C$28)*100,1)</f>
        <v>54.4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276304</v>
      </c>
      <c r="D11" s="182">
        <f>ROUND((C11/$C$28)*100,1)</f>
        <v>11.4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15891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30558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133034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35595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133530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195074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96130</v>
      </c>
      <c r="D20" s="182">
        <f t="shared" si="0"/>
        <v>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136775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51419.05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2422292.0499999998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2422292.0499999998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1190114</v>
      </c>
      <c r="D35" s="182">
        <f t="shared" ref="D35:D40" si="1">ROUND((C35/$C$41)*100,1)</f>
        <v>50.6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44403.840000000084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862516</v>
      </c>
      <c r="D37" s="182">
        <f t="shared" si="1"/>
        <v>36.700000000000003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26520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227303</v>
      </c>
      <c r="D39" s="182">
        <f t="shared" si="1"/>
        <v>9.6999999999999993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2350856.84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Warren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2016-12-08T16:01:33Z</cp:lastPrinted>
  <dcterms:created xsi:type="dcterms:W3CDTF">1997-12-04T19:04:30Z</dcterms:created>
  <dcterms:modified xsi:type="dcterms:W3CDTF">2016-12-08T16:08:00Z</dcterms:modified>
</cp:coreProperties>
</file>