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7" i="1" l="1"/>
  <c r="F118" i="1"/>
  <c r="F205" i="1" l="1"/>
  <c r="G205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E16" i="13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D14" i="13" s="1"/>
  <c r="C14" i="13" s="1"/>
  <c r="L225" i="1"/>
  <c r="L243" i="1"/>
  <c r="F15" i="13"/>
  <c r="G15" i="13"/>
  <c r="L208" i="1"/>
  <c r="D15" i="13" s="1"/>
  <c r="C15" i="13" s="1"/>
  <c r="L226" i="1"/>
  <c r="L244" i="1"/>
  <c r="F17" i="13"/>
  <c r="D17" i="13" s="1"/>
  <c r="C17" i="13" s="1"/>
  <c r="G17" i="13"/>
  <c r="L251" i="1"/>
  <c r="F18" i="13"/>
  <c r="G18" i="13"/>
  <c r="L252" i="1"/>
  <c r="F19" i="13"/>
  <c r="G19" i="13"/>
  <c r="L253" i="1"/>
  <c r="F29" i="13"/>
  <c r="G29" i="13"/>
  <c r="L358" i="1"/>
  <c r="L359" i="1"/>
  <c r="G661" i="1" s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309" i="1" s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C32" i="10" s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C40" i="10"/>
  <c r="F60" i="1"/>
  <c r="C56" i="2" s="1"/>
  <c r="G60" i="1"/>
  <c r="H60" i="1"/>
  <c r="I60" i="1"/>
  <c r="F56" i="2" s="1"/>
  <c r="F79" i="1"/>
  <c r="C57" i="2" s="1"/>
  <c r="F94" i="1"/>
  <c r="C58" i="2" s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G147" i="1"/>
  <c r="G162" i="1"/>
  <c r="H147" i="1"/>
  <c r="E85" i="2" s="1"/>
  <c r="H162" i="1"/>
  <c r="I147" i="1"/>
  <c r="F85" i="2" s="1"/>
  <c r="I162" i="1"/>
  <c r="C13" i="10"/>
  <c r="C19" i="10"/>
  <c r="L250" i="1"/>
  <c r="C113" i="2" s="1"/>
  <c r="L332" i="1"/>
  <c r="L254" i="1"/>
  <c r="L268" i="1"/>
  <c r="C142" i="2" s="1"/>
  <c r="L269" i="1"/>
  <c r="C143" i="2" s="1"/>
  <c r="L349" i="1"/>
  <c r="L350" i="1"/>
  <c r="I665" i="1"/>
  <c r="I670" i="1"/>
  <c r="G662" i="1"/>
  <c r="I669" i="1"/>
  <c r="C42" i="10"/>
  <c r="L374" i="1"/>
  <c r="L375" i="1"/>
  <c r="L376" i="1"/>
  <c r="F130" i="2" s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L531" i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F18" i="2" s="1"/>
  <c r="I441" i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7" i="2"/>
  <c r="E62" i="2" s="1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D91" i="2" s="1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3" i="2"/>
  <c r="D115" i="2"/>
  <c r="F115" i="2"/>
  <c r="G115" i="2"/>
  <c r="E118" i="2"/>
  <c r="E119" i="2"/>
  <c r="E120" i="2"/>
  <c r="C122" i="2"/>
  <c r="E122" i="2"/>
  <c r="E123" i="2"/>
  <c r="E124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J257" i="1" s="1"/>
  <c r="J271" i="1" s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643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G461" i="1" s="1"/>
  <c r="H640" i="1" s="1"/>
  <c r="J640" i="1" s="1"/>
  <c r="H452" i="1"/>
  <c r="F460" i="1"/>
  <c r="F461" i="1" s="1"/>
  <c r="H639" i="1" s="1"/>
  <c r="G460" i="1"/>
  <c r="H460" i="1"/>
  <c r="H461" i="1" s="1"/>
  <c r="H641" i="1" s="1"/>
  <c r="J641" i="1" s="1"/>
  <c r="F470" i="1"/>
  <c r="G470" i="1"/>
  <c r="H470" i="1"/>
  <c r="I470" i="1"/>
  <c r="I476" i="1" s="1"/>
  <c r="H625" i="1" s="1"/>
  <c r="J625" i="1" s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H545" i="1" s="1"/>
  <c r="I524" i="1"/>
  <c r="I545" i="1" s="1"/>
  <c r="J524" i="1"/>
  <c r="K524" i="1"/>
  <c r="L524" i="1"/>
  <c r="F529" i="1"/>
  <c r="G529" i="1"/>
  <c r="H529" i="1"/>
  <c r="I529" i="1"/>
  <c r="J529" i="1"/>
  <c r="J545" i="1" s="1"/>
  <c r="K529" i="1"/>
  <c r="F534" i="1"/>
  <c r="G534" i="1"/>
  <c r="G545" i="1" s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H571" i="1" s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J639" i="1" s="1"/>
  <c r="G641" i="1"/>
  <c r="G643" i="1"/>
  <c r="G644" i="1"/>
  <c r="H644" i="1"/>
  <c r="J644" i="1" s="1"/>
  <c r="G650" i="1"/>
  <c r="G652" i="1"/>
  <c r="H652" i="1"/>
  <c r="G653" i="1"/>
  <c r="H653" i="1"/>
  <c r="G654" i="1"/>
  <c r="H654" i="1"/>
  <c r="H655" i="1"/>
  <c r="D7" i="13"/>
  <c r="C7" i="13" s="1"/>
  <c r="E103" i="2"/>
  <c r="G62" i="2"/>
  <c r="E13" i="13"/>
  <c r="C13" i="13" s="1"/>
  <c r="E78" i="2"/>
  <c r="L427" i="1"/>
  <c r="K571" i="1"/>
  <c r="L433" i="1"/>
  <c r="I169" i="1"/>
  <c r="J643" i="1"/>
  <c r="J140" i="1"/>
  <c r="F571" i="1"/>
  <c r="I552" i="1"/>
  <c r="K598" i="1"/>
  <c r="G647" i="1" s="1"/>
  <c r="K545" i="1"/>
  <c r="C29" i="10"/>
  <c r="A13" i="12"/>
  <c r="L560" i="1"/>
  <c r="H338" i="1"/>
  <c r="H352" i="1" s="1"/>
  <c r="G192" i="1"/>
  <c r="F552" i="1"/>
  <c r="C35" i="10"/>
  <c r="L565" i="1"/>
  <c r="C109" i="2" l="1"/>
  <c r="J476" i="1"/>
  <c r="H626" i="1" s="1"/>
  <c r="H476" i="1"/>
  <c r="H624" i="1" s="1"/>
  <c r="G476" i="1"/>
  <c r="H623" i="1" s="1"/>
  <c r="J623" i="1" s="1"/>
  <c r="L290" i="1"/>
  <c r="C10" i="10"/>
  <c r="I257" i="1"/>
  <c r="I271" i="1" s="1"/>
  <c r="C120" i="2"/>
  <c r="E8" i="13"/>
  <c r="C8" i="13" s="1"/>
  <c r="C124" i="2"/>
  <c r="J617" i="1"/>
  <c r="J622" i="1"/>
  <c r="C62" i="2"/>
  <c r="C63" i="2" s="1"/>
  <c r="F112" i="1"/>
  <c r="J634" i="1"/>
  <c r="J655" i="1"/>
  <c r="L270" i="1"/>
  <c r="L247" i="1"/>
  <c r="G649" i="1"/>
  <c r="J649" i="1" s="1"/>
  <c r="F662" i="1"/>
  <c r="C18" i="10"/>
  <c r="C15" i="10"/>
  <c r="D81" i="2"/>
  <c r="C70" i="2"/>
  <c r="E31" i="2"/>
  <c r="D31" i="2"/>
  <c r="C18" i="2"/>
  <c r="K257" i="1"/>
  <c r="K271" i="1" s="1"/>
  <c r="J192" i="1"/>
  <c r="J193" i="1" s="1"/>
  <c r="G646" i="1" s="1"/>
  <c r="G645" i="1"/>
  <c r="J645" i="1" s="1"/>
  <c r="H52" i="1"/>
  <c r="H619" i="1" s="1"/>
  <c r="J619" i="1" s="1"/>
  <c r="G624" i="1"/>
  <c r="G157" i="2"/>
  <c r="K503" i="1"/>
  <c r="C11" i="10"/>
  <c r="C110" i="2"/>
  <c r="C12" i="10"/>
  <c r="H661" i="1"/>
  <c r="D29" i="13"/>
  <c r="C29" i="13" s="1"/>
  <c r="D18" i="13"/>
  <c r="C18" i="13" s="1"/>
  <c r="C21" i="10"/>
  <c r="H647" i="1"/>
  <c r="J647" i="1" s="1"/>
  <c r="H662" i="1"/>
  <c r="G651" i="1"/>
  <c r="J651" i="1" s="1"/>
  <c r="C121" i="2"/>
  <c r="C119" i="2"/>
  <c r="L229" i="1"/>
  <c r="G660" i="1" s="1"/>
  <c r="G664" i="1" s="1"/>
  <c r="G667" i="1" s="1"/>
  <c r="L211" i="1"/>
  <c r="F660" i="1" s="1"/>
  <c r="D5" i="13"/>
  <c r="C5" i="13" s="1"/>
  <c r="C125" i="2"/>
  <c r="C17" i="10"/>
  <c r="D50" i="2"/>
  <c r="J23" i="1"/>
  <c r="G22" i="2" s="1"/>
  <c r="I452" i="1"/>
  <c r="D18" i="2"/>
  <c r="L256" i="1"/>
  <c r="F257" i="1"/>
  <c r="F271" i="1" s="1"/>
  <c r="H257" i="1"/>
  <c r="H271" i="1" s="1"/>
  <c r="G164" i="2"/>
  <c r="G156" i="2"/>
  <c r="H549" i="1"/>
  <c r="L534" i="1"/>
  <c r="C85" i="2"/>
  <c r="C91" i="2" s="1"/>
  <c r="F169" i="1"/>
  <c r="C130" i="2"/>
  <c r="F22" i="13"/>
  <c r="C22" i="13" s="1"/>
  <c r="C131" i="2"/>
  <c r="H25" i="13"/>
  <c r="E125" i="2"/>
  <c r="E121" i="2"/>
  <c r="E128" i="2" s="1"/>
  <c r="E112" i="2"/>
  <c r="E115" i="2" s="1"/>
  <c r="E145" i="2" s="1"/>
  <c r="C114" i="2"/>
  <c r="D19" i="13"/>
  <c r="C19" i="13" s="1"/>
  <c r="C20" i="10"/>
  <c r="C123" i="2"/>
  <c r="C16" i="13"/>
  <c r="D12" i="13"/>
  <c r="C12" i="13" s="1"/>
  <c r="C26" i="10"/>
  <c r="L539" i="1"/>
  <c r="L382" i="1"/>
  <c r="G636" i="1" s="1"/>
  <c r="J636" i="1" s="1"/>
  <c r="K338" i="1"/>
  <c r="K352" i="1" s="1"/>
  <c r="G338" i="1"/>
  <c r="G352" i="1" s="1"/>
  <c r="G257" i="1"/>
  <c r="G271" i="1" s="1"/>
  <c r="F192" i="1"/>
  <c r="G161" i="2"/>
  <c r="J552" i="1"/>
  <c r="G551" i="1"/>
  <c r="L529" i="1"/>
  <c r="L545" i="1" s="1"/>
  <c r="K550" i="1"/>
  <c r="F661" i="1"/>
  <c r="E56" i="2"/>
  <c r="E63" i="2" s="1"/>
  <c r="H112" i="1"/>
  <c r="F663" i="1"/>
  <c r="L614" i="1"/>
  <c r="L401" i="1"/>
  <c r="C139" i="2" s="1"/>
  <c r="A31" i="12"/>
  <c r="C25" i="10"/>
  <c r="E132" i="2"/>
  <c r="L351" i="1"/>
  <c r="L328" i="1"/>
  <c r="H169" i="1"/>
  <c r="D6" i="13"/>
  <c r="C6" i="13" s="1"/>
  <c r="J571" i="1"/>
  <c r="L544" i="1"/>
  <c r="L419" i="1"/>
  <c r="J338" i="1"/>
  <c r="J352" i="1" s="1"/>
  <c r="F338" i="1"/>
  <c r="F352" i="1" s="1"/>
  <c r="D127" i="2"/>
  <c r="D128" i="2" s="1"/>
  <c r="D145" i="2" s="1"/>
  <c r="C78" i="2"/>
  <c r="J12" i="1"/>
  <c r="G11" i="2" s="1"/>
  <c r="G18" i="2" s="1"/>
  <c r="I446" i="1"/>
  <c r="G642" i="1" s="1"/>
  <c r="C16" i="10"/>
  <c r="E81" i="2"/>
  <c r="K500" i="1"/>
  <c r="I460" i="1"/>
  <c r="L362" i="1"/>
  <c r="C27" i="10" s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G169" i="1"/>
  <c r="G140" i="1"/>
  <c r="F140" i="1"/>
  <c r="G63" i="2"/>
  <c r="J618" i="1"/>
  <c r="G42" i="2"/>
  <c r="G50" i="2" s="1"/>
  <c r="G51" i="2" s="1"/>
  <c r="J51" i="1"/>
  <c r="G16" i="2"/>
  <c r="J19" i="1"/>
  <c r="G621" i="1" s="1"/>
  <c r="F33" i="13"/>
  <c r="F545" i="1"/>
  <c r="H434" i="1"/>
  <c r="J620" i="1"/>
  <c r="D103" i="2"/>
  <c r="D104" i="2" s="1"/>
  <c r="I140" i="1"/>
  <c r="I193" i="1" s="1"/>
  <c r="G630" i="1" s="1"/>
  <c r="J630" i="1" s="1"/>
  <c r="A22" i="12"/>
  <c r="H648" i="1"/>
  <c r="J648" i="1" s="1"/>
  <c r="J652" i="1"/>
  <c r="G571" i="1"/>
  <c r="I434" i="1"/>
  <c r="G434" i="1"/>
  <c r="I663" i="1"/>
  <c r="C81" i="2" l="1"/>
  <c r="C115" i="2"/>
  <c r="G104" i="2"/>
  <c r="I662" i="1"/>
  <c r="G635" i="1"/>
  <c r="J635" i="1" s="1"/>
  <c r="J624" i="1"/>
  <c r="C39" i="10"/>
  <c r="E33" i="13"/>
  <c r="D35" i="13" s="1"/>
  <c r="H660" i="1"/>
  <c r="I660" i="1" s="1"/>
  <c r="D51" i="2"/>
  <c r="G672" i="1"/>
  <c r="C5" i="10" s="1"/>
  <c r="I661" i="1"/>
  <c r="H664" i="1"/>
  <c r="H672" i="1" s="1"/>
  <c r="C6" i="10" s="1"/>
  <c r="L257" i="1"/>
  <c r="L271" i="1" s="1"/>
  <c r="G632" i="1" s="1"/>
  <c r="J632" i="1" s="1"/>
  <c r="H193" i="1"/>
  <c r="G629" i="1" s="1"/>
  <c r="J629" i="1" s="1"/>
  <c r="E104" i="2"/>
  <c r="C104" i="2"/>
  <c r="F664" i="1"/>
  <c r="C36" i="10"/>
  <c r="L338" i="1"/>
  <c r="L352" i="1" s="1"/>
  <c r="G633" i="1" s="1"/>
  <c r="J633" i="1" s="1"/>
  <c r="G552" i="1"/>
  <c r="K551" i="1"/>
  <c r="C28" i="10"/>
  <c r="D19" i="10" s="1"/>
  <c r="D31" i="13"/>
  <c r="C31" i="13" s="1"/>
  <c r="C141" i="2"/>
  <c r="C144" i="2" s="1"/>
  <c r="C25" i="13"/>
  <c r="H33" i="13"/>
  <c r="F193" i="1"/>
  <c r="G627" i="1" s="1"/>
  <c r="J627" i="1" s="1"/>
  <c r="L408" i="1"/>
  <c r="H552" i="1"/>
  <c r="K549" i="1"/>
  <c r="I461" i="1"/>
  <c r="H642" i="1" s="1"/>
  <c r="J642" i="1" s="1"/>
  <c r="C128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K552" i="1" l="1"/>
  <c r="D33" i="13"/>
  <c r="D36" i="13" s="1"/>
  <c r="I664" i="1"/>
  <c r="I672" i="1" s="1"/>
  <c r="C7" i="10" s="1"/>
  <c r="H667" i="1"/>
  <c r="C145" i="2"/>
  <c r="D13" i="10"/>
  <c r="D21" i="10"/>
  <c r="D18" i="10"/>
  <c r="D22" i="10"/>
  <c r="D27" i="10"/>
  <c r="D17" i="10"/>
  <c r="D11" i="10"/>
  <c r="D12" i="10"/>
  <c r="D24" i="10"/>
  <c r="D10" i="10"/>
  <c r="D26" i="10"/>
  <c r="C30" i="10"/>
  <c r="D16" i="10"/>
  <c r="D23" i="10"/>
  <c r="D20" i="10"/>
  <c r="D15" i="10"/>
  <c r="D25" i="10"/>
  <c r="G637" i="1"/>
  <c r="J637" i="1" s="1"/>
  <c r="H646" i="1"/>
  <c r="J646" i="1" s="1"/>
  <c r="F672" i="1"/>
  <c r="C4" i="10" s="1"/>
  <c r="F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<sst xmlns="http://schemas.openxmlformats.org/spreadsheetml/2006/main" count="3957" uniqueCount="915">
  <si>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</si>
  <si>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</si>
  <si>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</si>
  <si>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</si>
  <si>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</si>
  <si>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</si>
  <si>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</si>
  <si>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</si>
  <si>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</si>
  <si>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</si>
  <si>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</si>
  <si>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</si>
  <si>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</si>
  <si>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</si>
  <si>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</si>
  <si>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</si>
  <si>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</si>
  <si>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</si>
  <si>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</si>
  <si>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</si>
  <si>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</si>
  <si>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</si>
  <si>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</si>
  <si>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</si>
  <si>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</si>
  <si>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</si>
  <si>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</si>
  <si>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</si>
  <si>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</si>
  <si>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</si>
  <si>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</si>
  <si>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</si>
  <si>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</si>
  <si>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</si>
  <si>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</si>
  <si>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</si>
  <si>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</si>
  <si>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</si>
  <si>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</si>
  <si>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</si>
  <si>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</si>
  <si>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</si>
  <si>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</si>
  <si>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</si>
  <si>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</si>
  <si>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</si>
  <si>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</si>
  <si>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</si>
  <si>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</si>
  <si>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</si>
  <si>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</si>
  <si>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</si>
  <si>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</si>
  <si>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</si>
  <si>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</si>
  <si>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</si>
  <si>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</si>
  <si>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</si>
  <si>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</si>
  <si>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</si>
  <si>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</si>
  <si>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</si>
  <si>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</si>
  <si>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</si>
  <si>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</si>
  <si>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</si>
  <si>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</si>
  <si>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</si>
  <si>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</si>
  <si>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</si>
  <si>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</si>
  <si>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</si>
  <si>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</si>
  <si>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</si>
  <si>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</si>
  <si>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</si>
  <si>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</si>
  <si>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</si>
  <si>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</si>
  <si>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</si>
  <si>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</si>
  <si>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</si>
  <si>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</si>
  <si>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</si>
  <si>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</si>
  <si>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</si>
  <si>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</si>
  <si>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</si>
  <si>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</si>
  <si>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</si>
  <si>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</si>
  <si>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</si>
  <si>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</si>
  <si>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</si>
  <si>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</si>
  <si>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</si>
  <si>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</si>
  <si>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</si>
  <si>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</si>
  <si>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</si>
  <si>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</si>
  <si>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</si>
  <si>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</si>
  <si>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</si>
  <si>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</si>
  <si>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</si>
  <si>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</si>
  <si>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</si>
  <si>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</si>
  <si>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</si>
  <si>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</si>
  <si>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</si>
  <si>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</si>
  <si>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</si>
  <si>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</si>
  <si>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</si>
  <si>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</si>
  <si>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</si>
  <si>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</si>
  <si>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</si>
  <si>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</si>
  <si>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</si>
  <si>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</si>
  <si>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</si>
  <si>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</si>
  <si>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</si>
  <si>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</si>
  <si>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</si>
  <si>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</si>
  <si>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</si>
  <si>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</si>
  <si>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</si>
  <si>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</si>
  <si>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</si>
  <si>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</si>
  <si>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</si>
  <si>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</si>
  <si>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</si>
  <si>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</si>
  <si>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</si>
  <si>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</si>
  <si>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</si>
  <si>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</si>
  <si>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</si>
  <si>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</si>
  <si>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</si>
  <si>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</si>
  <si>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</si>
  <si>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</si>
  <si>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</si>
  <si>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</si>
  <si>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</si>
  <si>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</si>
  <si>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</si>
  <si>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</si>
  <si>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</si>
  <si>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</si>
  <si>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</si>
  <si>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</si>
  <si>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</si>
  <si>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</si>
  <si>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</si>
  <si>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</si>
  <si>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</si>
  <si>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</si>
  <si>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</si>
  <si>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</si>
  <si>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</si>
  <si>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</si>
  <si>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</si>
  <si>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</si>
  <si>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</si>
  <si>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</si>
  <si>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</si>
  <si>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</si>
  <si>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</si>
  <si>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</si>
  <si>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</si>
  <si>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</si>
  <si>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</si>
  <si>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</si>
  <si>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</si>
  <si>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</si>
  <si>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</si>
  <si>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</si>
  <si>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</si>
  <si>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</si>
  <si>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</si>
  <si>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</si>
  <si>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</si>
  <si>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</si>
  <si>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</si>
  <si>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</si>
  <si>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</si>
  <si>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</si>
  <si>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</si>
  <si>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</si>
  <si>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</si>
  <si>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</si>
  <si>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</si>
  <si>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</si>
  <si>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</si>
  <si>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</si>
  <si>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</si>
  <si>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</si>
  <si>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</si>
  <si>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</si>
  <si>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</si>
  <si>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</si>
  <si>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</si>
  <si>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</si>
  <si>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</si>
  <si>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</si>
  <si>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</si>
  <si>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</si>
  <si>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</si>
  <si>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</si>
  <si>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</si>
  <si>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</si>
  <si>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</si>
  <si>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</si>
  <si>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</si>
  <si>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</si>
  <si>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</si>
  <si>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</si>
  <si>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</si>
  <si>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</si>
  <si>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</si>
  <si>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</si>
  <si>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</si>
  <si>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</si>
  <si>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</si>
  <si>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</si>
  <si>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</si>
  <si>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</si>
  <si>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</si>
  <si>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</si>
  <si>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</si>
  <si>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</si>
  <si>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</si>
  <si>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</si>
  <si>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</si>
  <si>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</si>
  <si>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</si>
  <si>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</si>
  <si>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</si>
  <si>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</si>
  <si>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</si>
  <si>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</si>
  <si>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</si>
  <si>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</si>
  <si>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</si>
  <si>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</si>
  <si>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</si>
  <si>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</si>
  <si>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</si>
  <si>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</si>
  <si>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</si>
  <si>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</si>
  <si>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</si>
  <si>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</si>
  <si>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</si>
  <si>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</si>
  <si>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</si>
  <si>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</si>
  <si>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</si>
  <si>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</si>
  <si>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</si>
  <si>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</si>
  <si>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</si>
  <si>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</si>
  <si>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</si>
  <si>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</si>
  <si>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</si>
  <si>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</si>
  <si>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</si>
  <si>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</si>
  <si>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</si>
  <si>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</si>
  <si>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</si>
  <si>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</si>
  <si>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</si>
  <si>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</si>
  <si>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</si>
  <si>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</si>
  <si>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</si>
  <si>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</si>
  <si>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</si>
  <si>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</si>
  <si>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</si>
  <si>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</si>
  <si>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</si>
  <si>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</si>
  <si>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</si>
  <si>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</si>
  <si>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</si>
  <si>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</si>
  <si>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</si>
  <si>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</si>
  <si>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</si>
  <si>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</si>
  <si>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</si>
  <si>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</si>
  <si>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</si>
  <si>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</si>
  <si>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</si>
  <si>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</si>
  <si>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</si>
  <si>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</si>
  <si>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</si>
  <si>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</si>
  <si>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</si>
  <si>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</si>
  <si>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</si>
  <si>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</si>
  <si>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</si>
  <si>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</si>
  <si>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</si>
  <si>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</si>
  <si>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</si>
  <si>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</si>
  <si>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</si>
  <si>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</si>
  <si>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</si>
  <si>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</si>
  <si>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</si>
  <si>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</si>
  <si>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</si>
  <si>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</si>
  <si>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</si>
  <si>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</si>
  <si>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</si>
  <si>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</si>
  <si>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</si>
  <si>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</si>
  <si>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</si>
  <si>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</si>
  <si>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</si>
  <si>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</si>
  <si>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</si>
  <si>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</si>
  <si>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</si>
  <si>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</si>
  <si>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</si>
  <si>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</si>
  <si>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</si>
  <si>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</si>
  <si>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</si>
  <si>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</si>
  <si>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</si>
  <si>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</si>
  <si>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</si>
  <si>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</si>
  <si>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</si>
  <si>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</si>
  <si>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</si>
  <si>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</si>
  <si>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</si>
  <si>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</si>
  <si>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</si>
  <si>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</si>
  <si>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</si>
  <si>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</si>
  <si>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</si>
  <si>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</si>
  <si>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</si>
  <si>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</si>
  <si>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</si>
  <si>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</si>
  <si>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</si>
  <si>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</si>
  <si>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</si>
  <si>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</si>
  <si>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</si>
  <si>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</si>
  <si>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</si>
  <si>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</si>
  <si>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</si>
  <si>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</si>
  <si>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</si>
  <si>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</si>
  <si>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</si>
  <si>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</si>
  <si>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</si>
  <si>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</si>
  <si>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</si>
  <si>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</si>
  <si>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</si>
  <si>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</si>
  <si>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</si>
  <si>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</si>
  <si>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</si>
  <si>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</si>
  <si>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</si>
  <si>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</si>
  <si>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</si>
  <si>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</si>
  <si>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</si>
  <si>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</si>
  <si>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</si>
  <si>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</si>
  <si>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</si>
  <si>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</si>
  <si>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</si>
  <si>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</si>
  <si>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</si>
  <si>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</si>
  <si>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</si>
  <si>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</si>
  <si>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</si>
  <si>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</si>
  <si>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</si>
  <si>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</si>
  <si>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</si>
  <si>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</si>
  <si>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</si>
  <si>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</si>
  <si>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</si>
  <si>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</si>
  <si>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</si>
  <si>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</si>
  <si>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</si>
  <si>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</si>
  <si>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</si>
  <si>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</si>
  <si>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</si>
  <si>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</si>
  <si>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</si>
  <si>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</si>
  <si>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</si>
  <si>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</si>
  <si>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</si>
  <si>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</si>
  <si>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</si>
  <si>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</si>
  <si>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</si>
  <si>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</si>
  <si>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</si>
  <si>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</si>
  <si>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</si>
  <si>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</si>
  <si>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</si>
  <si>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</si>
  <si>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</si>
  <si>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</si>
  <si>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</si>
  <si>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</si>
  <si>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</si>
  <si>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</si>
  <si>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</si>
  <si>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</si>
  <si>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</si>
  <si>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</si>
  <si>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</si>
  <si>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</si>
  <si>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</si>
  <si>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</si>
  <si>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</si>
  <si>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</si>
  <si>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</si>
  <si>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</si>
  <si>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</si>
  <si>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</si>
  <si>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</si>
  <si>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</si>
  <si>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</si>
  <si>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</si>
  <si>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</si>
  <si>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</si>
  <si>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</si>
  <si>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</si>
  <si>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</si>
  <si>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</si>
  <si>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</si>
  <si>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</si>
  <si>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</si>
  <si>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</si>
  <si>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</si>
  <si>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</si>
  <si>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</si>
  <si>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</si>
  <si>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</si>
  <si>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</si>
  <si>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</si>
  <si>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</si>
  <si>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</si>
  <si>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</si>
  <si>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</si>
  <si>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</si>
  <si>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</si>
  <si>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</si>
  <si>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</si>
  <si>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</si>
  <si>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</si>
  <si>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</si>
  <si>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</si>
  <si>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</si>
  <si>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</si>
  <si>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</si>
  <si>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</si>
  <si>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</si>
  <si>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</si>
  <si>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</si>
  <si>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</si>
  <si>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</si>
  <si>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</si>
  <si>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</si>
  <si>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</si>
  <si>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</si>
  <si>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</si>
  <si>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</si>
  <si>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</si>
  <si>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</si>
  <si>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</si>
  <si>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</si>
  <si>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</si>
  <si>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</si>
  <si>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</si>
  <si>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</si>
  <si>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</si>
  <si>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</si>
  <si>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</si>
  <si>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</si>
  <si>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</si>
  <si>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</si>
  <si>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</si>
  <si>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</si>
  <si>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</si>
  <si>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</si>
  <si>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</si>
  <si>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</si>
  <si>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</si>
  <si>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</si>
  <si>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</si>
  <si>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</si>
  <si>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</si>
  <si>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</si>
  <si>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</si>
  <si>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</si>
  <si>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</si>
  <si>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</si>
  <si>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</si>
  <si>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</si>
  <si>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</si>
  <si>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</si>
  <si>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</si>
  <si>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</si>
  <si>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</si>
  <si>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</si>
  <si>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</si>
  <si>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</si>
  <si>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</si>
  <si>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</si>
  <si>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</si>
  <si>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</si>
  <si>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</si>
  <si>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</si>
  <si>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</si>
  <si>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</si>
  <si>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</si>
  <si>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</si>
  <si>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</si>
  <si>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</si>
  <si>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</si>
  <si>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</si>
  <si>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</si>
  <si>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</si>
  <si>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</si>
  <si>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</si>
  <si>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</si>
  <si>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</si>
  <si>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</si>
  <si>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</si>
  <si>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</si>
  <si>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</si>
  <si>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</si>
  <si>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</si>
  <si>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</si>
  <si>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</si>
  <si>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</si>
  <si>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</si>
  <si>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</si>
  <si>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</si>
  <si>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</si>
  <si>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</si>
  <si>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</si>
  <si>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</si>
  <si>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</si>
  <si>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</si>
  <si>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</si>
  <si>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</si>
  <si>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</si>
  <si>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</si>
  <si>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</si>
  <si>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</si>
  <si>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</si>
  <si>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</si>
  <si>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</si>
  <si>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</si>
  <si>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</si>
  <si>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</si>
  <si>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</si>
  <si>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</si>
  <si>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</si>
  <si>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</si>
  <si>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</si>
  <si>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</si>
  <si>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</si>
  <si>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</si>
  <si>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</si>
  <si>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</si>
  <si>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</si>
  <si>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</si>
  <si>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</si>
  <si>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</si>
  <si>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</si>
  <si>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</si>
  <si>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</si>
  <si>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</si>
  <si>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</si>
  <si>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</si>
  <si>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</si>
  <si>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</si>
  <si>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</si>
  <si>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</si>
  <si>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</si>
  <si>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</si>
  <si>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</si>
  <si>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</si>
  <si>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</si>
  <si>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</si>
  <si>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</si>
  <si>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</si>
  <si>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</si>
  <si>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</si>
  <si>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</si>
  <si>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</si>
  <si>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</si>
  <si>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</si>
  <si>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</si>
  <si>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</si>
  <si>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</si>
  <si>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</si>
  <si>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</si>
  <si>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</si>
  <si>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</si>
  <si>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</si>
  <si>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</si>
  <si>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</si>
  <si>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</si>
  <si>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</si>
  <si>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</si>
  <si>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</si>
  <si>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</si>
  <si>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</si>
  <si>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</si>
  <si>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</si>
  <si>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</si>
  <si>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</si>
  <si>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</si>
  <si>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</si>
  <si>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</si>
  <si>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</si>
  <si>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</si>
  <si>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</si>
  <si>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</si>
  <si>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</si>
  <si>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</si>
  <si>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</si>
  <si>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</si>
  <si>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</si>
  <si>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</si>
  <si>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</si>
  <si>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</si>
  <si>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</si>
  <si>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</si>
  <si>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</si>
  <si>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</si>
  <si>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</si>
  <si>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</si>
  <si>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</si>
  <si>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</si>
  <si>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</si>
  <si>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</si>
  <si>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</si>
  <si>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</si>
  <si>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</si>
  <si>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</si>
  <si>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</si>
  <si>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</si>
  <si>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</si>
  <si>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</si>
  <si>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</si>
  <si>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</si>
  <si>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</si>
  <si>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</si>
  <si>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</si>
  <si>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</si>
  <si>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</si>
  <si>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</si>
  <si>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</si>
  <si>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</si>
  <si>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</si>
  <si>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</si>
  <si>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</si>
  <si>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</si>
  <si>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</si>
  <si>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</si>
  <si>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</si>
  <si>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</si>
  <si>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</si>
  <si>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</si>
  <si>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</si>
  <si>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</si>
  <si>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</si>
  <si>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</si>
  <si>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</si>
  <si>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</si>
  <si>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</si>
  <si>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</si>
  <si>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</si>
  <si>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</si>
  <si>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</si>
  <si>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</si>
  <si>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</si>
  <si>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</si>
  <si>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</si>
  <si>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</si>
  <si>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</si>
  <si>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</si>
  <si>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</si>
  <si>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</si>
  <si>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</si>
  <si>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</si>
  <si>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</si>
  <si>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</si>
  <si>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</si>
  <si>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</si>
  <si>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</si>
  <si>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</si>
  <si>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</si>
  <si>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</si>
  <si>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</si>
  <si>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</si>
  <si>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</si>
  <si>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</si>
  <si>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</si>
  <si>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</si>
  <si>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</si>
  <si>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</si>
  <si>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</si>
  <si>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</si>
  <si>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</si>
  <si>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</si>
  <si>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</si>
  <si>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</si>
  <si>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</si>
  <si>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</si>
  <si>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</si>
  <si>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</si>
  <si>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</si>
  <si>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</si>
  <si>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</si>
  <si>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</si>
  <si>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</si>
  <si>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</si>
  <si>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</si>
  <si>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</si>
  <si>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</si>
  <si>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</si>
  <si>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</si>
  <si>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</si>
  <si>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</si>
  <si>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</si>
  <si>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</si>
  <si>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</si>
  <si>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</si>
  <si>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</si>
  <si>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</si>
  <si>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</si>
  <si>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</si>
  <si>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</si>
  <si>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</si>
  <si>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</si>
  <si>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</si>
  <si>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</si>
  <si>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</si>
  <si>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</si>
  <si>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</si>
  <si>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</si>
  <si>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</si>
  <si>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</si>
  <si>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</si>
  <si>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</si>
  <si>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</si>
  <si>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</si>
  <si>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</si>
  <si>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</si>
  <si>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</si>
  <si>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</si>
  <si>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</si>
  <si>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</si>
  <si>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</si>
  <si>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</si>
  <si>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</si>
  <si>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</si>
  <si>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</si>
  <si>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</si>
  <si>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</si>
  <si>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</si>
  <si>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</si>
  <si>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</si>
  <si>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</si>
  <si>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</si>
  <si>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</si>
  <si>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</si>
  <si>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</si>
  <si>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</si>
  <si>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</si>
  <si>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</si>
  <si>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</si>
  <si>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</si>
  <si>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</si>
  <si>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</si>
  <si>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</si>
  <si>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</si>
  <si>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</si>
  <si>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</si>
  <si>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</si>
  <si>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</si>
  <si>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</si>
  <si>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</si>
  <si>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</si>
  <si>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</si>
  <si>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</si>
  <si>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</si>
  <si>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</si>
  <si>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</si>
  <si>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</si>
  <si>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</si>
  <si>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</si>
  <si>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</si>
  <si>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</si>
  <si>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</si>
  <si>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</si>
  <si>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</si>
  <si>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</si>
  <si>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</si>
  <si>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</si>
  <si>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</si>
  <si>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</si>
  <si>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</si>
  <si>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</si>
  <si>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</si>
  <si>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</si>
  <si>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</si>
  <si>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</si>
  <si>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</si>
  <si>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</si>
  <si>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</si>
  <si>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</si>
  <si>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</si>
  <si>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</si>
  <si>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</si>
  <si>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</si>
  <si>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</si>
  <si>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</si>
  <si>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</si>
  <si>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</si>
  <si>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</si>
  <si>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</si>
  <si>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</si>
  <si>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</si>
  <si>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</si>
  <si>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</si>
  <si>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</si>
  <si>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</si>
  <si>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</si>
  <si>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</si>
  <si>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</si>
  <si>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</si>
  <si>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</si>
  <si>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</si>
  <si>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</si>
  <si>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</si>
  <si>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</si>
  <si>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</si>
  <si>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</si>
  <si>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</si>
  <si>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</si>
  <si>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</si>
  <si>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</si>
  <si>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</si>
  <si>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</si>
  <si>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</si>
  <si>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</si>
  <si>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</si>
  <si>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</si>
  <si>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</si>
  <si>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</si>
  <si>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</si>
  <si>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</si>
  <si>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</si>
  <si>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</si>
  <si>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</si>
  <si>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</si>
  <si>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</si>
  <si>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</si>
  <si>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</si>
  <si>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</si>
  <si>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</si>
  <si>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</si>
  <si>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08/01</t>
  </si>
  <si>
    <t>08/16</t>
  </si>
  <si>
    <t>Washington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</si>
</sst>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25" activePane="bottomRight" state="frozen"/>
      <selection pane="topRight" activeCell="F1" sqref="F1"/>
      <selection pane="bottomLeft" activeCell="A4" sqref="A4"/>
      <selection pane="bottomRight" activeCell="F48" sqref="F4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551</v>
      </c>
      <c r="C2" s="21">
        <v>551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98292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256820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9462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410749</v>
      </c>
      <c r="G13" s="18">
        <v>7650</v>
      </c>
      <c r="H13" s="18">
        <v>11816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518503</v>
      </c>
      <c r="G19" s="41">
        <f>SUM(G9:G18)</f>
        <v>7650</v>
      </c>
      <c r="H19" s="41">
        <f>SUM(H9:H18)</f>
        <v>11816</v>
      </c>
      <c r="I19" s="41">
        <f>SUM(I9:I18)</f>
        <v>0</v>
      </c>
      <c r="J19" s="41">
        <f>SUM(J9:J18)</f>
        <v>256820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11037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233789</v>
      </c>
      <c r="G24" s="18"/>
      <c r="H24" s="18">
        <v>779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>
        <v>1750</v>
      </c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233789</v>
      </c>
      <c r="G32" s="41">
        <f>SUM(G22:G31)</f>
        <v>1750</v>
      </c>
      <c r="H32" s="41">
        <f>SUM(H22:H31)</f>
        <v>11816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59150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5900</v>
      </c>
      <c r="H48" s="18"/>
      <c r="I48" s="18"/>
      <c r="J48" s="13">
        <f>SUM(I459)</f>
        <v>256820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>
        <v>0</v>
      </c>
      <c r="H49" s="18">
        <v>0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205564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284714</v>
      </c>
      <c r="G51" s="41">
        <f>SUM(G35:G50)</f>
        <v>5900</v>
      </c>
      <c r="H51" s="41">
        <f>SUM(H35:H50)</f>
        <v>0</v>
      </c>
      <c r="I51" s="41">
        <f>SUM(I35:I50)</f>
        <v>0</v>
      </c>
      <c r="J51" s="41">
        <f>SUM(J35:J50)</f>
        <v>256820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518503</v>
      </c>
      <c r="G52" s="41">
        <f>G51+G32</f>
        <v>7650</v>
      </c>
      <c r="H52" s="41">
        <f>H51+H32</f>
        <v>11816</v>
      </c>
      <c r="I52" s="41">
        <f>I51+I32</f>
        <v>0</v>
      </c>
      <c r="J52" s="41">
        <f>J51+J32</f>
        <v>256820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1820526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1820526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38823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53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38876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7083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0</v>
      </c>
      <c r="G111" s="41">
        <f>SUM(G96:G110)</f>
        <v>7083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1859402</v>
      </c>
      <c r="G112" s="41">
        <f>G60+G111</f>
        <v>7083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f>41762+1187</f>
        <v>42949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f>546663-1187</f>
        <v>545476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588425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18188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334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18188</v>
      </c>
      <c r="G136" s="41">
        <f>SUM(G123:G135)</f>
        <v>334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606613</v>
      </c>
      <c r="G140" s="41">
        <f>G121+SUM(G136:G137)</f>
        <v>334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14835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29137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21528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3690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3690</v>
      </c>
      <c r="G162" s="41">
        <f>SUM(G150:G161)</f>
        <v>21528</v>
      </c>
      <c r="H162" s="41">
        <f>SUM(H150:H161)</f>
        <v>43972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3690</v>
      </c>
      <c r="G169" s="41">
        <f>G147+G162+SUM(G163:G168)</f>
        <v>21528</v>
      </c>
      <c r="H169" s="41">
        <f>H147+H162+SUM(H163:H168)</f>
        <v>43972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8000</v>
      </c>
      <c r="H179" s="18"/>
      <c r="I179" s="18"/>
      <c r="J179" s="18">
        <v>20000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8000</v>
      </c>
      <c r="H183" s="41">
        <f>SUM(H179:H182)</f>
        <v>0</v>
      </c>
      <c r="I183" s="41">
        <f>SUM(I179:I182)</f>
        <v>0</v>
      </c>
      <c r="J183" s="41">
        <f>SUM(J179:J182)</f>
        <v>20000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8000</v>
      </c>
      <c r="H192" s="41">
        <f>+H183+SUM(H188:H191)</f>
        <v>0</v>
      </c>
      <c r="I192" s="41">
        <f>I177+I183+SUM(I188:I191)</f>
        <v>0</v>
      </c>
      <c r="J192" s="41">
        <f>J183</f>
        <v>20000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2469705</v>
      </c>
      <c r="G193" s="47">
        <f>G112+G140+G169+G192</f>
        <v>36945</v>
      </c>
      <c r="H193" s="47">
        <f>H112+H140+H169+H192</f>
        <v>43972</v>
      </c>
      <c r="I193" s="47">
        <f>I112+I140+I169+I192</f>
        <v>0</v>
      </c>
      <c r="J193" s="47">
        <f>J112+J140+J192</f>
        <v>20000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252377</v>
      </c>
      <c r="G197" s="18">
        <v>73015</v>
      </c>
      <c r="H197" s="18">
        <v>3825</v>
      </c>
      <c r="I197" s="18">
        <v>14748</v>
      </c>
      <c r="J197" s="18">
        <v>10119</v>
      </c>
      <c r="K197" s="18">
        <v>768</v>
      </c>
      <c r="L197" s="19">
        <f>SUM(F197:K197)</f>
        <v>354852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77516</v>
      </c>
      <c r="G198" s="18">
        <v>17512</v>
      </c>
      <c r="H198" s="18">
        <v>0</v>
      </c>
      <c r="I198" s="18">
        <v>459</v>
      </c>
      <c r="J198" s="18">
        <v>0</v>
      </c>
      <c r="K198" s="18">
        <v>0</v>
      </c>
      <c r="L198" s="19">
        <f>SUM(F198:K198)</f>
        <v>95487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24283</v>
      </c>
      <c r="G202" s="18">
        <v>2091</v>
      </c>
      <c r="H202" s="18">
        <v>26206</v>
      </c>
      <c r="I202" s="18">
        <v>1315</v>
      </c>
      <c r="J202" s="18">
        <v>0</v>
      </c>
      <c r="K202" s="18">
        <v>0</v>
      </c>
      <c r="L202" s="19">
        <f t="shared" ref="L202:L208" si="0">SUM(F202:K202)</f>
        <v>53895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618</v>
      </c>
      <c r="G203" s="18">
        <v>6802</v>
      </c>
      <c r="H203" s="18"/>
      <c r="I203" s="18">
        <v>804</v>
      </c>
      <c r="J203" s="18"/>
      <c r="K203" s="18"/>
      <c r="L203" s="19">
        <f t="shared" si="0"/>
        <v>8224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1328</v>
      </c>
      <c r="G204" s="18">
        <v>2526</v>
      </c>
      <c r="H204" s="18">
        <v>60081</v>
      </c>
      <c r="I204" s="18">
        <v>37</v>
      </c>
      <c r="J204" s="18"/>
      <c r="K204" s="18">
        <v>2337</v>
      </c>
      <c r="L204" s="19">
        <f t="shared" si="0"/>
        <v>66309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27215+40000</f>
        <v>67215</v>
      </c>
      <c r="G205" s="18">
        <f>2315+8828</f>
        <v>11143</v>
      </c>
      <c r="H205" s="18"/>
      <c r="I205" s="18">
        <v>0</v>
      </c>
      <c r="J205" s="18"/>
      <c r="K205" s="18"/>
      <c r="L205" s="19">
        <f t="shared" si="0"/>
        <v>78358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40968</v>
      </c>
      <c r="G207" s="18">
        <v>7482</v>
      </c>
      <c r="H207" s="18">
        <v>25071</v>
      </c>
      <c r="I207" s="18">
        <v>33859</v>
      </c>
      <c r="J207" s="18"/>
      <c r="K207" s="18"/>
      <c r="L207" s="19">
        <f t="shared" si="0"/>
        <v>107380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43285</v>
      </c>
      <c r="I208" s="18"/>
      <c r="J208" s="18"/>
      <c r="K208" s="18"/>
      <c r="L208" s="19">
        <f t="shared" si="0"/>
        <v>43285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464305</v>
      </c>
      <c r="G211" s="41">
        <f t="shared" si="1"/>
        <v>120571</v>
      </c>
      <c r="H211" s="41">
        <f t="shared" si="1"/>
        <v>158468</v>
      </c>
      <c r="I211" s="41">
        <f t="shared" si="1"/>
        <v>51222</v>
      </c>
      <c r="J211" s="41">
        <f t="shared" si="1"/>
        <v>10119</v>
      </c>
      <c r="K211" s="41">
        <f t="shared" si="1"/>
        <v>3105</v>
      </c>
      <c r="L211" s="41">
        <f t="shared" si="1"/>
        <v>807790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288174</v>
      </c>
      <c r="I215" s="18"/>
      <c r="J215" s="18"/>
      <c r="K215" s="18"/>
      <c r="L215" s="19">
        <f>SUM(F215:K215)</f>
        <v>288174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783</v>
      </c>
      <c r="G222" s="18">
        <v>1489</v>
      </c>
      <c r="H222" s="18">
        <v>35404</v>
      </c>
      <c r="I222" s="18">
        <v>22</v>
      </c>
      <c r="J222" s="18"/>
      <c r="K222" s="18">
        <v>1377</v>
      </c>
      <c r="L222" s="19">
        <f t="shared" si="2"/>
        <v>39075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24077</v>
      </c>
      <c r="I226" s="18"/>
      <c r="J226" s="18"/>
      <c r="K226" s="18"/>
      <c r="L226" s="19">
        <f t="shared" si="2"/>
        <v>24077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783</v>
      </c>
      <c r="G229" s="41">
        <f>SUM(G215:G228)</f>
        <v>1489</v>
      </c>
      <c r="H229" s="41">
        <f>SUM(H215:H228)</f>
        <v>347655</v>
      </c>
      <c r="I229" s="41">
        <f>SUM(I215:I228)</f>
        <v>22</v>
      </c>
      <c r="J229" s="41">
        <f>SUM(J215:J228)</f>
        <v>0</v>
      </c>
      <c r="K229" s="41">
        <f t="shared" si="3"/>
        <v>1377</v>
      </c>
      <c r="L229" s="41">
        <f t="shared" si="3"/>
        <v>351326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751528</v>
      </c>
      <c r="I233" s="18"/>
      <c r="J233" s="18"/>
      <c r="K233" s="18"/>
      <c r="L233" s="19">
        <f>SUM(F233:K233)</f>
        <v>751528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1139</v>
      </c>
      <c r="G240" s="18">
        <v>2165</v>
      </c>
      <c r="H240" s="18">
        <v>51497</v>
      </c>
      <c r="I240" s="18">
        <v>32</v>
      </c>
      <c r="J240" s="18"/>
      <c r="K240" s="18">
        <v>2003</v>
      </c>
      <c r="L240" s="19">
        <f t="shared" si="4"/>
        <v>56836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35022</v>
      </c>
      <c r="I244" s="18"/>
      <c r="J244" s="18"/>
      <c r="K244" s="18"/>
      <c r="L244" s="19">
        <f t="shared" si="4"/>
        <v>35022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1139</v>
      </c>
      <c r="G247" s="41">
        <f t="shared" si="5"/>
        <v>2165</v>
      </c>
      <c r="H247" s="41">
        <f t="shared" si="5"/>
        <v>838047</v>
      </c>
      <c r="I247" s="41">
        <f t="shared" si="5"/>
        <v>32</v>
      </c>
      <c r="J247" s="41">
        <f t="shared" si="5"/>
        <v>0</v>
      </c>
      <c r="K247" s="41">
        <f t="shared" si="5"/>
        <v>2003</v>
      </c>
      <c r="L247" s="41">
        <f t="shared" si="5"/>
        <v>843386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466227</v>
      </c>
      <c r="G257" s="41">
        <f t="shared" si="8"/>
        <v>124225</v>
      </c>
      <c r="H257" s="41">
        <f t="shared" si="8"/>
        <v>1344170</v>
      </c>
      <c r="I257" s="41">
        <f t="shared" si="8"/>
        <v>51276</v>
      </c>
      <c r="J257" s="41">
        <f t="shared" si="8"/>
        <v>10119</v>
      </c>
      <c r="K257" s="41">
        <f t="shared" si="8"/>
        <v>6485</v>
      </c>
      <c r="L257" s="41">
        <f t="shared" si="8"/>
        <v>2002502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70000</v>
      </c>
      <c r="L260" s="19">
        <f>SUM(F260:K260)</f>
        <v>70000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2029</v>
      </c>
      <c r="L261" s="19">
        <f>SUM(F261:K261)</f>
        <v>2029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8000</v>
      </c>
      <c r="L263" s="19">
        <f>SUM(F263:K263)</f>
        <v>8000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20000</v>
      </c>
      <c r="L266" s="19">
        <f t="shared" si="9"/>
        <v>20000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100029</v>
      </c>
      <c r="L270" s="41">
        <f t="shared" si="9"/>
        <v>100029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466227</v>
      </c>
      <c r="G271" s="42">
        <f t="shared" si="11"/>
        <v>124225</v>
      </c>
      <c r="H271" s="42">
        <f t="shared" si="11"/>
        <v>1344170</v>
      </c>
      <c r="I271" s="42">
        <f t="shared" si="11"/>
        <v>51276</v>
      </c>
      <c r="J271" s="42">
        <f t="shared" si="11"/>
        <v>10119</v>
      </c>
      <c r="K271" s="42">
        <f t="shared" si="11"/>
        <v>106514</v>
      </c>
      <c r="L271" s="42">
        <f t="shared" si="11"/>
        <v>2102531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14112</v>
      </c>
      <c r="G276" s="18">
        <v>1594</v>
      </c>
      <c r="H276" s="18">
        <v>13726</v>
      </c>
      <c r="I276" s="18">
        <v>20070</v>
      </c>
      <c r="J276" s="18"/>
      <c r="K276" s="18"/>
      <c r="L276" s="19">
        <f>SUM(F276:K276)</f>
        <v>49502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14112</v>
      </c>
      <c r="G290" s="42">
        <f t="shared" si="13"/>
        <v>1594</v>
      </c>
      <c r="H290" s="42">
        <f t="shared" si="13"/>
        <v>13726</v>
      </c>
      <c r="I290" s="42">
        <f t="shared" si="13"/>
        <v>20070</v>
      </c>
      <c r="J290" s="42">
        <f t="shared" si="13"/>
        <v>0</v>
      </c>
      <c r="K290" s="42">
        <f t="shared" si="13"/>
        <v>0</v>
      </c>
      <c r="L290" s="41">
        <f t="shared" si="13"/>
        <v>49502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14112</v>
      </c>
      <c r="G338" s="41">
        <f t="shared" si="20"/>
        <v>1594</v>
      </c>
      <c r="H338" s="41">
        <f t="shared" si="20"/>
        <v>13726</v>
      </c>
      <c r="I338" s="41">
        <f t="shared" si="20"/>
        <v>20070</v>
      </c>
      <c r="J338" s="41">
        <f t="shared" si="20"/>
        <v>0</v>
      </c>
      <c r="K338" s="41">
        <f t="shared" si="20"/>
        <v>0</v>
      </c>
      <c r="L338" s="41">
        <f t="shared" si="20"/>
        <v>49502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14112</v>
      </c>
      <c r="G352" s="41">
        <f>G338</f>
        <v>1594</v>
      </c>
      <c r="H352" s="41">
        <f>H338</f>
        <v>13726</v>
      </c>
      <c r="I352" s="41">
        <f>I338</f>
        <v>20070</v>
      </c>
      <c r="J352" s="41">
        <f>J338</f>
        <v>0</v>
      </c>
      <c r="K352" s="47">
        <f>K338+K351</f>
        <v>0</v>
      </c>
      <c r="L352" s="41">
        <f>L338+L351</f>
        <v>49502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16840</v>
      </c>
      <c r="G358" s="18">
        <v>1288</v>
      </c>
      <c r="H358" s="18">
        <v>0</v>
      </c>
      <c r="I358" s="18">
        <v>17603</v>
      </c>
      <c r="J358" s="18"/>
      <c r="K358" s="18"/>
      <c r="L358" s="13">
        <f>SUM(F358:K358)</f>
        <v>35731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16840</v>
      </c>
      <c r="G362" s="47">
        <f t="shared" si="22"/>
        <v>1288</v>
      </c>
      <c r="H362" s="47">
        <f t="shared" si="22"/>
        <v>0</v>
      </c>
      <c r="I362" s="47">
        <f t="shared" si="22"/>
        <v>17603</v>
      </c>
      <c r="J362" s="47">
        <f t="shared" si="22"/>
        <v>0</v>
      </c>
      <c r="K362" s="47">
        <f t="shared" si="22"/>
        <v>0</v>
      </c>
      <c r="L362" s="47">
        <f t="shared" si="22"/>
        <v>35731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17431</v>
      </c>
      <c r="G367" s="18"/>
      <c r="H367" s="18"/>
      <c r="I367" s="56">
        <f>SUM(F367:H367)</f>
        <v>17431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172</v>
      </c>
      <c r="G368" s="63"/>
      <c r="H368" s="63"/>
      <c r="I368" s="56">
        <f>SUM(F368:H368)</f>
        <v>172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17603</v>
      </c>
      <c r="G369" s="47">
        <f>SUM(G367:G368)</f>
        <v>0</v>
      </c>
      <c r="H369" s="47">
        <f>SUM(H367:H368)</f>
        <v>0</v>
      </c>
      <c r="I369" s="47">
        <f>SUM(I367:I368)</f>
        <v>17603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10000</v>
      </c>
      <c r="H397" s="18"/>
      <c r="I397" s="18"/>
      <c r="J397" s="24" t="s">
        <v>289</v>
      </c>
      <c r="K397" s="24" t="s">
        <v>289</v>
      </c>
      <c r="L397" s="56">
        <f t="shared" si="26"/>
        <v>10000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10000</v>
      </c>
      <c r="H398" s="18"/>
      <c r="I398" s="18"/>
      <c r="J398" s="24" t="s">
        <v>289</v>
      </c>
      <c r="K398" s="24" t="s">
        <v>289</v>
      </c>
      <c r="L398" s="56">
        <f t="shared" si="26"/>
        <v>10000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20000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256820</v>
      </c>
      <c r="H440" s="18"/>
      <c r="I440" s="56">
        <f t="shared" si="33"/>
        <v>256820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256820</v>
      </c>
      <c r="H446" s="13">
        <f>SUM(H439:H445)</f>
        <v>0</v>
      </c>
      <c r="I446" s="13">
        <f>SUM(I439:I445)</f>
        <v>256820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256820</v>
      </c>
      <c r="H459" s="18"/>
      <c r="I459" s="56">
        <f t="shared" si="34"/>
        <v>256820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256820</v>
      </c>
      <c r="H460" s="83">
        <f>SUM(H454:H459)</f>
        <v>0</v>
      </c>
      <c r="I460" s="83">
        <f>SUM(I454:I459)</f>
        <v>256820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256820</v>
      </c>
      <c r="H461" s="42">
        <f>H452+H460</f>
        <v>0</v>
      </c>
      <c r="I461" s="42">
        <f>I452+I460</f>
        <v>256820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-82460</v>
      </c>
      <c r="G465" s="18">
        <v>4686</v>
      </c>
      <c r="H465" s="18">
        <v>5530</v>
      </c>
      <c r="I465" s="18"/>
      <c r="J465" s="18">
        <v>236820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2469705</v>
      </c>
      <c r="G468" s="18">
        <v>36945</v>
      </c>
      <c r="H468" s="18">
        <v>43972</v>
      </c>
      <c r="I468" s="18">
        <v>0</v>
      </c>
      <c r="J468" s="18">
        <v>20000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2469705</v>
      </c>
      <c r="G470" s="53">
        <f>SUM(G468:G469)</f>
        <v>36945</v>
      </c>
      <c r="H470" s="53">
        <f>SUM(H468:H469)</f>
        <v>43972</v>
      </c>
      <c r="I470" s="53">
        <f>SUM(I468:I469)</f>
        <v>0</v>
      </c>
      <c r="J470" s="53">
        <f>SUM(J468:J469)</f>
        <v>20000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2102531</v>
      </c>
      <c r="G472" s="18">
        <v>35731</v>
      </c>
      <c r="H472" s="18">
        <v>49502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2102531</v>
      </c>
      <c r="G474" s="53">
        <f>SUM(G472:G473)</f>
        <v>35731</v>
      </c>
      <c r="H474" s="53">
        <f>SUM(H472:H473)</f>
        <v>49502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284714</v>
      </c>
      <c r="G476" s="53">
        <f>(G465+G470)- G474</f>
        <v>5900</v>
      </c>
      <c r="H476" s="53">
        <f>(H465+H470)- H474</f>
        <v>0</v>
      </c>
      <c r="I476" s="53">
        <f>(I465+I470)- I474</f>
        <v>0</v>
      </c>
      <c r="J476" s="53">
        <f>(J465+J470)- J474</f>
        <v>256820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1105012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140000</v>
      </c>
      <c r="G495" s="18"/>
      <c r="H495" s="18"/>
      <c r="I495" s="18"/>
      <c r="J495" s="18"/>
      <c r="K495" s="53">
        <f>SUM(F495:J495)</f>
        <v>140000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70000</v>
      </c>
      <c r="G497" s="18"/>
      <c r="H497" s="18"/>
      <c r="I497" s="18"/>
      <c r="J497" s="18"/>
      <c r="K497" s="53">
        <f t="shared" si="35"/>
        <v>70000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70000</v>
      </c>
      <c r="G498" s="204"/>
      <c r="H498" s="204"/>
      <c r="I498" s="204"/>
      <c r="J498" s="204"/>
      <c r="K498" s="205">
        <f t="shared" si="35"/>
        <v>70000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4728</v>
      </c>
      <c r="G499" s="18"/>
      <c r="H499" s="18"/>
      <c r="I499" s="18"/>
      <c r="J499" s="18"/>
      <c r="K499" s="53">
        <f t="shared" si="35"/>
        <v>4728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74728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74728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70000</v>
      </c>
      <c r="G501" s="204"/>
      <c r="H501" s="204"/>
      <c r="I501" s="204"/>
      <c r="J501" s="204"/>
      <c r="K501" s="205">
        <f t="shared" si="35"/>
        <v>70000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4728</v>
      </c>
      <c r="G502" s="18"/>
      <c r="H502" s="18"/>
      <c r="I502" s="18"/>
      <c r="J502" s="18"/>
      <c r="K502" s="53">
        <f t="shared" si="35"/>
        <v>4728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74728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74728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77516</v>
      </c>
      <c r="G521" s="18">
        <v>17512</v>
      </c>
      <c r="H521" s="18"/>
      <c r="I521" s="18">
        <v>459</v>
      </c>
      <c r="J521" s="18"/>
      <c r="K521" s="18"/>
      <c r="L521" s="88">
        <f>SUM(F521:K521)</f>
        <v>95487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77516</v>
      </c>
      <c r="G524" s="108">
        <f t="shared" ref="G524:L524" si="36">SUM(G521:G523)</f>
        <v>17512</v>
      </c>
      <c r="H524" s="108">
        <f t="shared" si="36"/>
        <v>0</v>
      </c>
      <c r="I524" s="108">
        <f t="shared" si="36"/>
        <v>459</v>
      </c>
      <c r="J524" s="108">
        <f t="shared" si="36"/>
        <v>0</v>
      </c>
      <c r="K524" s="108">
        <f t="shared" si="36"/>
        <v>0</v>
      </c>
      <c r="L524" s="89">
        <f t="shared" si="36"/>
        <v>95487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16813</v>
      </c>
      <c r="I526" s="18">
        <v>354</v>
      </c>
      <c r="J526" s="18"/>
      <c r="K526" s="18"/>
      <c r="L526" s="88">
        <f>SUM(F526:K526)</f>
        <v>17167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16813</v>
      </c>
      <c r="I529" s="89">
        <f t="shared" si="37"/>
        <v>354</v>
      </c>
      <c r="J529" s="89">
        <f t="shared" si="37"/>
        <v>0</v>
      </c>
      <c r="K529" s="89">
        <f t="shared" si="37"/>
        <v>0</v>
      </c>
      <c r="L529" s="89">
        <f t="shared" si="37"/>
        <v>17167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77516</v>
      </c>
      <c r="G545" s="89">
        <f t="shared" ref="G545:L545" si="41">G524+G529+G534+G539+G544</f>
        <v>17512</v>
      </c>
      <c r="H545" s="89">
        <f t="shared" si="41"/>
        <v>16813</v>
      </c>
      <c r="I545" s="89">
        <f t="shared" si="41"/>
        <v>813</v>
      </c>
      <c r="J545" s="89">
        <f t="shared" si="41"/>
        <v>0</v>
      </c>
      <c r="K545" s="89">
        <f t="shared" si="41"/>
        <v>0</v>
      </c>
      <c r="L545" s="89">
        <f t="shared" si="41"/>
        <v>112654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95487</v>
      </c>
      <c r="G549" s="87">
        <f>L526</f>
        <v>17167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112654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95487</v>
      </c>
      <c r="G552" s="89">
        <f t="shared" si="42"/>
        <v>17167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112654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288174</v>
      </c>
      <c r="H575" s="18">
        <v>751528</v>
      </c>
      <c r="I575" s="87">
        <f>SUM(F575:H575)</f>
        <v>1039702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40859</v>
      </c>
      <c r="I591" s="18">
        <v>24077</v>
      </c>
      <c r="J591" s="18">
        <v>35022</v>
      </c>
      <c r="K591" s="104">
        <f t="shared" ref="K591:K597" si="48">SUM(H591:J591)</f>
        <v>99958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2426</v>
      </c>
      <c r="I595" s="18"/>
      <c r="J595" s="18"/>
      <c r="K595" s="104">
        <f t="shared" si="48"/>
        <v>2426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43285</v>
      </c>
      <c r="I598" s="108">
        <f>SUM(I591:I597)</f>
        <v>24077</v>
      </c>
      <c r="J598" s="108">
        <f>SUM(J591:J597)</f>
        <v>35022</v>
      </c>
      <c r="K598" s="108">
        <f>SUM(K591:K597)</f>
        <v>102384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10119</v>
      </c>
      <c r="I604" s="18"/>
      <c r="J604" s="18"/>
      <c r="K604" s="104">
        <f>SUM(H604:J604)</f>
        <v>10119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10119</v>
      </c>
      <c r="I605" s="108">
        <f>SUM(I602:I604)</f>
        <v>0</v>
      </c>
      <c r="J605" s="108">
        <f>SUM(J602:J604)</f>
        <v>0</v>
      </c>
      <c r="K605" s="108">
        <f>SUM(K602:K604)</f>
        <v>10119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518503</v>
      </c>
      <c r="H617" s="109">
        <f>SUM(F52)</f>
        <v>518503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7650</v>
      </c>
      <c r="H618" s="109">
        <f>SUM(G52)</f>
        <v>7650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11816</v>
      </c>
      <c r="H619" s="109">
        <f>SUM(H52)</f>
        <v>11816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256820</v>
      </c>
      <c r="H621" s="109">
        <f>SUM(J52)</f>
        <v>256820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284714</v>
      </c>
      <c r="H622" s="109">
        <f>F476</f>
        <v>284714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5900</v>
      </c>
      <c r="H623" s="109">
        <f>G476</f>
        <v>5900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256820</v>
      </c>
      <c r="H626" s="109">
        <f>J476</f>
        <v>256820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2469705</v>
      </c>
      <c r="H627" s="104">
        <f>SUM(F468)</f>
        <v>2469705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36945</v>
      </c>
      <c r="H628" s="104">
        <f>SUM(G468)</f>
        <v>36945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43972</v>
      </c>
      <c r="H629" s="104">
        <f>SUM(H468)</f>
        <v>43972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20000</v>
      </c>
      <c r="H631" s="104">
        <f>SUM(J468)</f>
        <v>20000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2102531</v>
      </c>
      <c r="H632" s="104">
        <f>SUM(F472)</f>
        <v>2102531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49502</v>
      </c>
      <c r="H633" s="104">
        <f>SUM(H472)</f>
        <v>49502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17603</v>
      </c>
      <c r="H634" s="104">
        <f>I369</f>
        <v>17603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35731</v>
      </c>
      <c r="H635" s="104">
        <f>SUM(G472)</f>
        <v>35731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20000</v>
      </c>
      <c r="H637" s="164">
        <f>SUM(J468)</f>
        <v>20000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256820</v>
      </c>
      <c r="H640" s="104">
        <f>SUM(G461)</f>
        <v>256820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256820</v>
      </c>
      <c r="H642" s="104">
        <f>SUM(I461)</f>
        <v>256820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20000</v>
      </c>
      <c r="H645" s="104">
        <f>G408</f>
        <v>20000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20000</v>
      </c>
      <c r="H646" s="104">
        <f>L408</f>
        <v>20000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102384</v>
      </c>
      <c r="H647" s="104">
        <f>L208+L226+L244</f>
        <v>102384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10119</v>
      </c>
      <c r="H648" s="104">
        <f>(J257+J338)-(J255+J336)</f>
        <v>10119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43285</v>
      </c>
      <c r="H649" s="104">
        <f>H598</f>
        <v>43285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24077</v>
      </c>
      <c r="H650" s="104">
        <f>I598</f>
        <v>24077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35022</v>
      </c>
      <c r="H651" s="104">
        <f>J598</f>
        <v>35022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8000</v>
      </c>
      <c r="H652" s="104">
        <f>K263+K345</f>
        <v>8000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20000</v>
      </c>
      <c r="H655" s="104">
        <f>K266+K347</f>
        <v>20000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893023</v>
      </c>
      <c r="G660" s="19">
        <f>(L229+L309+L359)</f>
        <v>351326</v>
      </c>
      <c r="H660" s="19">
        <f>(L247+L328+L360)</f>
        <v>843386</v>
      </c>
      <c r="I660" s="19">
        <f>SUM(F660:H660)</f>
        <v>2087735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7083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7083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43285</v>
      </c>
      <c r="G662" s="19">
        <f>(L226+L306)-(J226+J306)</f>
        <v>24077</v>
      </c>
      <c r="H662" s="19">
        <f>(L244+L325)-(J244+J325)</f>
        <v>35022</v>
      </c>
      <c r="I662" s="19">
        <f>SUM(F662:H662)</f>
        <v>102384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10119</v>
      </c>
      <c r="G663" s="199">
        <f>SUM(G575:G587)+SUM(I602:I604)+L612</f>
        <v>288174</v>
      </c>
      <c r="H663" s="199">
        <f>SUM(H575:H587)+SUM(J602:J604)+L613</f>
        <v>751528</v>
      </c>
      <c r="I663" s="19">
        <f>SUM(F663:H663)</f>
        <v>1049821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832536</v>
      </c>
      <c r="G664" s="19">
        <f>G660-SUM(G661:G663)</f>
        <v>39075</v>
      </c>
      <c r="H664" s="19">
        <f>H660-SUM(H661:H663)</f>
        <v>56836</v>
      </c>
      <c r="I664" s="19">
        <f>I660-SUM(I661:I663)</f>
        <v>928447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55.91</v>
      </c>
      <c r="G665" s="248"/>
      <c r="H665" s="248"/>
      <c r="I665" s="19">
        <f>SUM(F665:H665)</f>
        <v>55.91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14890.65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16606.099999999999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-39075</v>
      </c>
      <c r="H669" s="18">
        <v>-56836</v>
      </c>
      <c r="I669" s="19">
        <f>SUM(F669:H669)</f>
        <v>-95911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14890.65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14890.65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1" sqref="C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Washington SD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266489</v>
      </c>
      <c r="C9" s="229">
        <f>'DOE25'!G197+'DOE25'!G215+'DOE25'!G233+'DOE25'!G276+'DOE25'!G295+'DOE25'!G314</f>
        <v>74609</v>
      </c>
    </row>
    <row r="10" spans="1:3" x14ac:dyDescent="0.2">
      <c r="A10" t="s">
        <v>779</v>
      </c>
      <c r="B10" s="240">
        <v>229270</v>
      </c>
      <c r="C10" s="240">
        <v>71642</v>
      </c>
    </row>
    <row r="11" spans="1:3" x14ac:dyDescent="0.2">
      <c r="A11" t="s">
        <v>780</v>
      </c>
      <c r="B11" s="240">
        <v>34747</v>
      </c>
      <c r="C11" s="240">
        <v>2768</v>
      </c>
    </row>
    <row r="12" spans="1:3" x14ac:dyDescent="0.2">
      <c r="A12" t="s">
        <v>781</v>
      </c>
      <c r="B12" s="240">
        <v>2472</v>
      </c>
      <c r="C12" s="240">
        <v>199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266489</v>
      </c>
      <c r="C13" s="231">
        <f>SUM(C10:C12)</f>
        <v>74609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77516</v>
      </c>
      <c r="C18" s="229">
        <f>'DOE25'!G198+'DOE25'!G216+'DOE25'!G234+'DOE25'!G277+'DOE25'!G296+'DOE25'!G315</f>
        <v>17512</v>
      </c>
    </row>
    <row r="19" spans="1:3" x14ac:dyDescent="0.2">
      <c r="A19" t="s">
        <v>779</v>
      </c>
      <c r="B19" s="240">
        <v>71036</v>
      </c>
      <c r="C19" s="240">
        <v>17103</v>
      </c>
    </row>
    <row r="20" spans="1:3" x14ac:dyDescent="0.2">
      <c r="A20" t="s">
        <v>780</v>
      </c>
      <c r="B20" s="240">
        <v>6480</v>
      </c>
      <c r="C20" s="240">
        <v>409</v>
      </c>
    </row>
    <row r="21" spans="1:3" x14ac:dyDescent="0.2">
      <c r="A21" t="s">
        <v>781</v>
      </c>
      <c r="B21" s="240">
        <v>0</v>
      </c>
      <c r="C21" s="240">
        <v>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77516</v>
      </c>
      <c r="C22" s="231">
        <f>SUM(C19:C21)</f>
        <v>17512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Washington SD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1490041</v>
      </c>
      <c r="D5" s="20">
        <f>SUM('DOE25'!L197:L200)+SUM('DOE25'!L215:L218)+SUM('DOE25'!L233:L236)-F5-G5</f>
        <v>1479154</v>
      </c>
      <c r="E5" s="243"/>
      <c r="F5" s="255">
        <f>SUM('DOE25'!J197:J200)+SUM('DOE25'!J215:J218)+SUM('DOE25'!J233:J236)</f>
        <v>10119</v>
      </c>
      <c r="G5" s="53">
        <f>SUM('DOE25'!K197:K200)+SUM('DOE25'!K215:K218)+SUM('DOE25'!K233:K236)</f>
        <v>768</v>
      </c>
      <c r="H5" s="259"/>
    </row>
    <row r="6" spans="1:9" x14ac:dyDescent="0.2">
      <c r="A6" s="32">
        <v>2100</v>
      </c>
      <c r="B6" t="s">
        <v>801</v>
      </c>
      <c r="C6" s="245">
        <f t="shared" si="0"/>
        <v>53895</v>
      </c>
      <c r="D6" s="20">
        <f>'DOE25'!L202+'DOE25'!L220+'DOE25'!L238-F6-G6</f>
        <v>53895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8224</v>
      </c>
      <c r="D7" s="20">
        <f>'DOE25'!L203+'DOE25'!L221+'DOE25'!L239-F7-G7</f>
        <v>8224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107506</v>
      </c>
      <c r="D8" s="243"/>
      <c r="E8" s="20">
        <f>'DOE25'!L204+'DOE25'!L222+'DOE25'!L240-F8-G8-D9-D11</f>
        <v>101789</v>
      </c>
      <c r="F8" s="255">
        <f>'DOE25'!J204+'DOE25'!J222+'DOE25'!J240</f>
        <v>0</v>
      </c>
      <c r="G8" s="53">
        <f>'DOE25'!K204+'DOE25'!K222+'DOE25'!K240</f>
        <v>5717</v>
      </c>
      <c r="H8" s="259"/>
    </row>
    <row r="9" spans="1:9" x14ac:dyDescent="0.2">
      <c r="A9" s="32">
        <v>2310</v>
      </c>
      <c r="B9" t="s">
        <v>818</v>
      </c>
      <c r="C9" s="245">
        <f t="shared" si="0"/>
        <v>18373</v>
      </c>
      <c r="D9" s="244">
        <v>18373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9250</v>
      </c>
      <c r="D10" s="243"/>
      <c r="E10" s="244">
        <v>9250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36341</v>
      </c>
      <c r="D11" s="244">
        <v>36341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78358</v>
      </c>
      <c r="D12" s="20">
        <f>'DOE25'!L205+'DOE25'!L223+'DOE25'!L241-F12-G12</f>
        <v>78358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107380</v>
      </c>
      <c r="D14" s="20">
        <f>'DOE25'!L207+'DOE25'!L225+'DOE25'!L243-F14-G14</f>
        <v>107380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102384</v>
      </c>
      <c r="D15" s="20">
        <f>'DOE25'!L208+'DOE25'!L226+'DOE25'!L244-F15-G15</f>
        <v>102384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72029</v>
      </c>
      <c r="D25" s="243"/>
      <c r="E25" s="243"/>
      <c r="F25" s="258"/>
      <c r="G25" s="256"/>
      <c r="H25" s="257">
        <f>'DOE25'!L260+'DOE25'!L261+'DOE25'!L341+'DOE25'!L342</f>
        <v>72029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18300</v>
      </c>
      <c r="D29" s="20">
        <f>'DOE25'!L358+'DOE25'!L359+'DOE25'!L360-'DOE25'!I367-F29-G29</f>
        <v>18300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49502</v>
      </c>
      <c r="D31" s="20">
        <f>'DOE25'!L290+'DOE25'!L309+'DOE25'!L328+'DOE25'!L333+'DOE25'!L334+'DOE25'!L335-F31-G31</f>
        <v>49502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1951911</v>
      </c>
      <c r="E33" s="246">
        <f>SUM(E5:E31)</f>
        <v>111039</v>
      </c>
      <c r="F33" s="246">
        <f>SUM(F5:F31)</f>
        <v>10119</v>
      </c>
      <c r="G33" s="246">
        <f>SUM(G5:G31)</f>
        <v>6485</v>
      </c>
      <c r="H33" s="246">
        <f>SUM(H5:H31)</f>
        <v>72029</v>
      </c>
    </row>
    <row r="35" spans="2:8" ht="12" thickBot="1" x14ac:dyDescent="0.25">
      <c r="B35" s="253" t="s">
        <v>847</v>
      </c>
      <c r="D35" s="254">
        <f>E33</f>
        <v>111039</v>
      </c>
      <c r="E35" s="249"/>
    </row>
    <row r="36" spans="2:8" ht="12" thickTop="1" x14ac:dyDescent="0.2">
      <c r="B36" t="s">
        <v>815</v>
      </c>
      <c r="D36" s="20">
        <f>D33</f>
        <v>1951911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Washington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98292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256820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9462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410749</v>
      </c>
      <c r="D12" s="95">
        <f>'DOE25'!G13</f>
        <v>7650</v>
      </c>
      <c r="E12" s="95">
        <f>'DOE25'!H13</f>
        <v>11816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518503</v>
      </c>
      <c r="D18" s="41">
        <f>SUM(D8:D17)</f>
        <v>7650</v>
      </c>
      <c r="E18" s="41">
        <f>SUM(E8:E17)</f>
        <v>11816</v>
      </c>
      <c r="F18" s="41">
        <f>SUM(F8:F17)</f>
        <v>0</v>
      </c>
      <c r="G18" s="41">
        <f>SUM(G8:G17)</f>
        <v>256820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11037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233789</v>
      </c>
      <c r="D23" s="95">
        <f>'DOE25'!G24</f>
        <v>0</v>
      </c>
      <c r="E23" s="95">
        <f>'DOE25'!H24</f>
        <v>779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1750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233789</v>
      </c>
      <c r="D31" s="41">
        <f>SUM(D21:D30)</f>
        <v>1750</v>
      </c>
      <c r="E31" s="41">
        <f>SUM(E21:E30)</f>
        <v>11816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59150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5900</v>
      </c>
      <c r="E47" s="95">
        <f>'DOE25'!H48</f>
        <v>0</v>
      </c>
      <c r="F47" s="95">
        <f>'DOE25'!I48</f>
        <v>0</v>
      </c>
      <c r="G47" s="95">
        <f>'DOE25'!J48</f>
        <v>256820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205564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284714</v>
      </c>
      <c r="D50" s="41">
        <f>SUM(D34:D49)</f>
        <v>5900</v>
      </c>
      <c r="E50" s="41">
        <f>SUM(E34:E49)</f>
        <v>0</v>
      </c>
      <c r="F50" s="41">
        <f>SUM(F34:F49)</f>
        <v>0</v>
      </c>
      <c r="G50" s="41">
        <f>SUM(G34:G49)</f>
        <v>256820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518503</v>
      </c>
      <c r="D51" s="41">
        <f>D50+D31</f>
        <v>7650</v>
      </c>
      <c r="E51" s="41">
        <f>E50+E31</f>
        <v>11816</v>
      </c>
      <c r="F51" s="41">
        <f>F50+F31</f>
        <v>0</v>
      </c>
      <c r="G51" s="41">
        <f>G50+G31</f>
        <v>256820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1820526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38876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7083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38876</v>
      </c>
      <c r="D62" s="130">
        <f>SUM(D57:D61)</f>
        <v>7083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1859402</v>
      </c>
      <c r="D63" s="22">
        <f>D56+D62</f>
        <v>7083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42949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545476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588425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18188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334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18188</v>
      </c>
      <c r="D78" s="130">
        <f>SUM(D72:D77)</f>
        <v>334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606613</v>
      </c>
      <c r="D81" s="130">
        <f>SUM(D79:D80)+D78+D70</f>
        <v>334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3690</v>
      </c>
      <c r="D88" s="95">
        <f>SUM('DOE25'!G153:G161)</f>
        <v>21528</v>
      </c>
      <c r="E88" s="95">
        <f>SUM('DOE25'!H153:H161)</f>
        <v>43972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3690</v>
      </c>
      <c r="D91" s="131">
        <f>SUM(D85:D90)</f>
        <v>21528</v>
      </c>
      <c r="E91" s="131">
        <f>SUM(E85:E90)</f>
        <v>43972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8000</v>
      </c>
      <c r="E96" s="95">
        <f>'DOE25'!H179</f>
        <v>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8000</v>
      </c>
      <c r="E103" s="86">
        <f>SUM(E93:E102)</f>
        <v>0</v>
      </c>
      <c r="F103" s="86">
        <f>SUM(F93:F102)</f>
        <v>0</v>
      </c>
      <c r="G103" s="86">
        <f>SUM(G93:G102)</f>
        <v>20000</v>
      </c>
    </row>
    <row r="104" spans="1:7" ht="12.75" thickTop="1" thickBot="1" x14ac:dyDescent="0.25">
      <c r="A104" s="33" t="s">
        <v>765</v>
      </c>
      <c r="C104" s="86">
        <f>C63+C81+C91+C103</f>
        <v>2469705</v>
      </c>
      <c r="D104" s="86">
        <f>D63+D81+D91+D103</f>
        <v>36945</v>
      </c>
      <c r="E104" s="86">
        <f>E63+E81+E91+E103</f>
        <v>43972</v>
      </c>
      <c r="F104" s="86">
        <f>F63+F81+F91+F103</f>
        <v>0</v>
      </c>
      <c r="G104" s="86">
        <f>G63+G81+G103</f>
        <v>20000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1394554</v>
      </c>
      <c r="D109" s="24" t="s">
        <v>289</v>
      </c>
      <c r="E109" s="95">
        <f>('DOE25'!L276)+('DOE25'!L295)+('DOE25'!L314)</f>
        <v>49502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95487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1490041</v>
      </c>
      <c r="D115" s="86">
        <f>SUM(D109:D114)</f>
        <v>0</v>
      </c>
      <c r="E115" s="86">
        <f>SUM(E109:E114)</f>
        <v>49502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53895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8224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162220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78358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107380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102384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35731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512461</v>
      </c>
      <c r="D128" s="86">
        <f>SUM(D118:D127)</f>
        <v>35731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2029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8000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20000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100029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2102531</v>
      </c>
      <c r="D145" s="86">
        <f>(D115+D128+D144)</f>
        <v>35731</v>
      </c>
      <c r="E145" s="86">
        <f>(E115+E128+E144)</f>
        <v>49502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1105012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140000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140000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70000</v>
      </c>
    </row>
    <row r="159" spans="1:9" x14ac:dyDescent="0.2">
      <c r="A159" s="22" t="s">
        <v>35</v>
      </c>
      <c r="B159" s="137">
        <f>'DOE25'!F498</f>
        <v>70000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70000</v>
      </c>
    </row>
    <row r="160" spans="1:9" x14ac:dyDescent="0.2">
      <c r="A160" s="22" t="s">
        <v>36</v>
      </c>
      <c r="B160" s="137">
        <f>'DOE25'!F499</f>
        <v>4728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4728</v>
      </c>
    </row>
    <row r="161" spans="1:7" x14ac:dyDescent="0.2">
      <c r="A161" s="22" t="s">
        <v>37</v>
      </c>
      <c r="B161" s="137">
        <f>'DOE25'!F500</f>
        <v>74728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74728</v>
      </c>
    </row>
    <row r="162" spans="1:7" x14ac:dyDescent="0.2">
      <c r="A162" s="22" t="s">
        <v>38</v>
      </c>
      <c r="B162" s="137">
        <f>'DOE25'!F501</f>
        <v>70000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70000</v>
      </c>
    </row>
    <row r="163" spans="1:7" x14ac:dyDescent="0.2">
      <c r="A163" s="22" t="s">
        <v>39</v>
      </c>
      <c r="B163" s="137">
        <f>'DOE25'!F502</f>
        <v>4728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4728</v>
      </c>
    </row>
    <row r="164" spans="1:7" x14ac:dyDescent="0.2">
      <c r="A164" s="22" t="s">
        <v>246</v>
      </c>
      <c r="B164" s="137">
        <f>'DOE25'!F503</f>
        <v>74728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74728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7"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Washington SD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14891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14891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1444056</v>
      </c>
      <c r="D10" s="182">
        <f>ROUND((C10/$C$28)*100,1)</f>
        <v>69.3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95487</v>
      </c>
      <c r="D11" s="182">
        <f>ROUND((C11/$C$28)*100,1)</f>
        <v>4.5999999999999996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53895</v>
      </c>
      <c r="D15" s="182">
        <f t="shared" ref="D15:D27" si="0">ROUND((C15/$C$28)*100,1)</f>
        <v>2.6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8224</v>
      </c>
      <c r="D16" s="182">
        <f t="shared" si="0"/>
        <v>0.4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162220</v>
      </c>
      <c r="D17" s="182">
        <f t="shared" si="0"/>
        <v>7.8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78358</v>
      </c>
      <c r="D18" s="182">
        <f t="shared" si="0"/>
        <v>3.8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107380</v>
      </c>
      <c r="D20" s="182">
        <f t="shared" si="0"/>
        <v>5.2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102384</v>
      </c>
      <c r="D21" s="182">
        <f t="shared" si="0"/>
        <v>4.9000000000000004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2029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28648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2082681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2082681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1820526</v>
      </c>
      <c r="D35" s="182">
        <f t="shared" ref="D35:D40" si="1">ROUND((C35/$C$41)*100,1)</f>
        <v>71.8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38876</v>
      </c>
      <c r="D36" s="182">
        <f t="shared" si="1"/>
        <v>1.5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588425</v>
      </c>
      <c r="D37" s="182">
        <f t="shared" si="1"/>
        <v>23.2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18522</v>
      </c>
      <c r="D38" s="182">
        <f t="shared" si="1"/>
        <v>0.7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69190</v>
      </c>
      <c r="D39" s="182">
        <f t="shared" si="1"/>
        <v>2.7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2535539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Washington SD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2016-10-30T18:13:48Z</cp:lastPrinted>
  <dcterms:created xsi:type="dcterms:W3CDTF">1997-12-04T19:04:30Z</dcterms:created>
  <dcterms:modified xsi:type="dcterms:W3CDTF">2016-11-07T12:54:40Z</dcterms:modified>
</cp:coreProperties>
</file>