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" i="1" l="1"/>
  <c r="D9" i="13" l="1"/>
  <c r="H543" i="1"/>
  <c r="H526" i="1"/>
  <c r="G526" i="1"/>
  <c r="F526" i="1"/>
  <c r="G521" i="1"/>
  <c r="F521" i="1"/>
  <c r="H521" i="1"/>
  <c r="J521" i="1"/>
  <c r="I521" i="1"/>
  <c r="H502" i="1"/>
  <c r="H499" i="1"/>
  <c r="J179" i="1"/>
  <c r="J96" i="1"/>
  <c r="G440" i="1"/>
  <c r="F367" i="1"/>
  <c r="I358" i="1"/>
  <c r="H358" i="1"/>
  <c r="G358" i="1"/>
  <c r="H282" i="1"/>
  <c r="G282" i="1"/>
  <c r="F282" i="1"/>
  <c r="G277" i="1"/>
  <c r="J276" i="1"/>
  <c r="I276" i="1"/>
  <c r="G276" i="1"/>
  <c r="K266" i="1"/>
  <c r="H244" i="1"/>
  <c r="I205" i="1"/>
  <c r="I203" i="1"/>
  <c r="I202" i="1"/>
  <c r="H208" i="1"/>
  <c r="H204" i="1"/>
  <c r="H202" i="1"/>
  <c r="G204" i="1"/>
  <c r="G203" i="1"/>
  <c r="G202" i="1"/>
  <c r="F204" i="1"/>
  <c r="F203" i="1"/>
  <c r="F202" i="1"/>
  <c r="H159" i="1" l="1"/>
  <c r="H155" i="1"/>
  <c r="H154" i="1"/>
  <c r="G97" i="1"/>
  <c r="F110" i="1"/>
  <c r="H28" i="1"/>
  <c r="H13" i="1"/>
  <c r="F9" i="1"/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E120" i="2" s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8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C29" i="10" s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1" i="2"/>
  <c r="C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G461" i="1" s="1"/>
  <c r="H640" i="1" s="1"/>
  <c r="J640" i="1" s="1"/>
  <c r="H460" i="1"/>
  <c r="F461" i="1"/>
  <c r="H461" i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G640" i="1"/>
  <c r="G641" i="1"/>
  <c r="H641" i="1"/>
  <c r="G643" i="1"/>
  <c r="H643" i="1"/>
  <c r="G644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C26" i="10"/>
  <c r="L328" i="1"/>
  <c r="A31" i="12"/>
  <c r="C70" i="2"/>
  <c r="D18" i="13"/>
  <c r="C18" i="13" s="1"/>
  <c r="D7" i="13"/>
  <c r="C7" i="13" s="1"/>
  <c r="D17" i="13"/>
  <c r="C17" i="13" s="1"/>
  <c r="F78" i="2"/>
  <c r="F81" i="2" s="1"/>
  <c r="F18" i="2"/>
  <c r="E103" i="2"/>
  <c r="D91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571" i="1"/>
  <c r="K571" i="1"/>
  <c r="L433" i="1"/>
  <c r="L419" i="1"/>
  <c r="I169" i="1"/>
  <c r="J643" i="1"/>
  <c r="J476" i="1"/>
  <c r="H626" i="1" s="1"/>
  <c r="F476" i="1"/>
  <c r="H622" i="1" s="1"/>
  <c r="G476" i="1"/>
  <c r="H623" i="1" s="1"/>
  <c r="J623" i="1" s="1"/>
  <c r="J140" i="1"/>
  <c r="F571" i="1"/>
  <c r="I552" i="1"/>
  <c r="K550" i="1"/>
  <c r="G22" i="2"/>
  <c r="K545" i="1"/>
  <c r="J552" i="1"/>
  <c r="H140" i="1"/>
  <c r="L393" i="1"/>
  <c r="F22" i="13"/>
  <c r="H571" i="1"/>
  <c r="L560" i="1"/>
  <c r="J545" i="1"/>
  <c r="H338" i="1"/>
  <c r="H352" i="1" s="1"/>
  <c r="H192" i="1"/>
  <c r="C35" i="10"/>
  <c r="L309" i="1"/>
  <c r="E16" i="13"/>
  <c r="C16" i="13" s="1"/>
  <c r="L570" i="1"/>
  <c r="I571" i="1"/>
  <c r="G36" i="2"/>
  <c r="L565" i="1"/>
  <c r="C22" i="13"/>
  <c r="C138" i="2"/>
  <c r="A40" i="12" l="1"/>
  <c r="A13" i="12"/>
  <c r="K598" i="1"/>
  <c r="G647" i="1" s="1"/>
  <c r="J647" i="1" s="1"/>
  <c r="L544" i="1"/>
  <c r="K551" i="1"/>
  <c r="L534" i="1"/>
  <c r="K549" i="1"/>
  <c r="H545" i="1"/>
  <c r="L524" i="1"/>
  <c r="G164" i="2"/>
  <c r="G161" i="2"/>
  <c r="K500" i="1"/>
  <c r="G156" i="2"/>
  <c r="K503" i="1"/>
  <c r="L351" i="1"/>
  <c r="J645" i="1"/>
  <c r="G645" i="1"/>
  <c r="J639" i="1"/>
  <c r="I460" i="1"/>
  <c r="I461" i="1" s="1"/>
  <c r="H642" i="1" s="1"/>
  <c r="I446" i="1"/>
  <c r="G642" i="1" s="1"/>
  <c r="J634" i="1"/>
  <c r="D29" i="13"/>
  <c r="C29" i="13" s="1"/>
  <c r="F661" i="1"/>
  <c r="H661" i="1"/>
  <c r="L362" i="1"/>
  <c r="C27" i="10" s="1"/>
  <c r="D145" i="2"/>
  <c r="G661" i="1"/>
  <c r="E132" i="2"/>
  <c r="K352" i="1"/>
  <c r="H25" i="13"/>
  <c r="H33" i="13" s="1"/>
  <c r="E122" i="2"/>
  <c r="E128" i="2" s="1"/>
  <c r="L290" i="1"/>
  <c r="C11" i="10"/>
  <c r="J338" i="1"/>
  <c r="J352" i="1" s="1"/>
  <c r="E109" i="2"/>
  <c r="E115" i="2" s="1"/>
  <c r="C132" i="2"/>
  <c r="L247" i="1"/>
  <c r="C21" i="10"/>
  <c r="D15" i="13"/>
  <c r="C15" i="13" s="1"/>
  <c r="C124" i="2"/>
  <c r="C110" i="2"/>
  <c r="H660" i="1"/>
  <c r="H664" i="1" s="1"/>
  <c r="H667" i="1" s="1"/>
  <c r="C10" i="10"/>
  <c r="H257" i="1"/>
  <c r="H271" i="1" s="1"/>
  <c r="C121" i="2"/>
  <c r="H647" i="1"/>
  <c r="F662" i="1"/>
  <c r="I662" i="1" s="1"/>
  <c r="C118" i="2"/>
  <c r="C128" i="2" s="1"/>
  <c r="C17" i="10"/>
  <c r="C109" i="2"/>
  <c r="E8" i="13"/>
  <c r="C8" i="13" s="1"/>
  <c r="C16" i="10"/>
  <c r="D6" i="13"/>
  <c r="C6" i="13" s="1"/>
  <c r="L211" i="1"/>
  <c r="D5" i="13"/>
  <c r="C5" i="13" s="1"/>
  <c r="C81" i="2"/>
  <c r="C62" i="2"/>
  <c r="C63" i="2" s="1"/>
  <c r="F112" i="1"/>
  <c r="C36" i="10" s="1"/>
  <c r="G625" i="1"/>
  <c r="J625" i="1"/>
  <c r="D31" i="2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I663" i="1"/>
  <c r="K552" i="1" l="1"/>
  <c r="L545" i="1"/>
  <c r="J642" i="1"/>
  <c r="H646" i="1"/>
  <c r="J646" i="1" s="1"/>
  <c r="I661" i="1"/>
  <c r="G635" i="1"/>
  <c r="J635" i="1" s="1"/>
  <c r="G664" i="1"/>
  <c r="G672" i="1" s="1"/>
  <c r="C5" i="10" s="1"/>
  <c r="G667" i="1"/>
  <c r="C25" i="13"/>
  <c r="E145" i="2"/>
  <c r="D31" i="13"/>
  <c r="C31" i="13" s="1"/>
  <c r="F660" i="1"/>
  <c r="F664" i="1" s="1"/>
  <c r="F672" i="1" s="1"/>
  <c r="C4" i="10" s="1"/>
  <c r="H672" i="1"/>
  <c r="C6" i="10" s="1"/>
  <c r="C115" i="2"/>
  <c r="C145" i="2" s="1"/>
  <c r="E33" i="13"/>
  <c r="D35" i="13" s="1"/>
  <c r="C28" i="10"/>
  <c r="D24" i="10" s="1"/>
  <c r="L257" i="1"/>
  <c r="L271" i="1" s="1"/>
  <c r="G632" i="1" s="1"/>
  <c r="J632" i="1" s="1"/>
  <c r="I193" i="1"/>
  <c r="G630" i="1" s="1"/>
  <c r="J630" i="1" s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F667" i="1"/>
  <c r="D23" i="10"/>
  <c r="D10" i="10"/>
  <c r="C30" i="10"/>
  <c r="D26" i="10"/>
  <c r="D16" i="10"/>
  <c r="D15" i="10"/>
  <c r="D19" i="10"/>
  <c r="D20" i="10"/>
  <c r="D25" i="10"/>
  <c r="D13" i="10"/>
  <c r="D11" i="10"/>
  <c r="D21" i="10"/>
  <c r="D22" i="10"/>
  <c r="D27" i="10"/>
  <c r="D18" i="10"/>
  <c r="D17" i="10"/>
  <c r="D1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<sst xmlns="http://schemas.openxmlformats.org/spreadsheetml/2006/main" count="3961" uniqueCount="918">
  <si>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</si>
  <si>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</si>
  <si>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</si>
  <si>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</si>
  <si>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</si>
  <si>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</si>
  <si>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</si>
  <si>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</si>
  <si>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</si>
  <si>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</si>
  <si>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</si>
  <si>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</si>
  <si>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</si>
  <si>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</si>
  <si>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</si>
  <si>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</si>
  <si>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</si>
  <si>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</si>
  <si>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</si>
  <si>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</si>
  <si>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</si>
  <si>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</si>
  <si>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</si>
  <si>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</si>
  <si>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</si>
  <si>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</si>
  <si>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</si>
  <si>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</si>
  <si>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</si>
  <si>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</si>
  <si>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</si>
  <si>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</si>
  <si>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</si>
  <si>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</si>
  <si>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</si>
  <si>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</si>
  <si>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</si>
  <si>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</si>
  <si>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</si>
  <si>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</si>
  <si>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</si>
  <si>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</si>
  <si>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</si>
  <si>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</si>
  <si>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</si>
  <si>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</si>
  <si>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</si>
  <si>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</si>
  <si>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</si>
  <si>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</si>
  <si>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</si>
  <si>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</si>
  <si>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</si>
  <si>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</si>
  <si>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</si>
  <si>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</si>
  <si>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</si>
  <si>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</si>
  <si>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</si>
  <si>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</si>
  <si>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</si>
  <si>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</si>
  <si>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</si>
  <si>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</si>
  <si>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</si>
  <si>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</si>
  <si>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</si>
  <si>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</si>
  <si>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</si>
  <si>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</si>
  <si>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</si>
  <si>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</si>
  <si>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</si>
  <si>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</si>
  <si>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</si>
  <si>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</si>
  <si>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</si>
  <si>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</si>
  <si>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</si>
  <si>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</si>
  <si>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</si>
  <si>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</si>
  <si>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</si>
  <si>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</si>
  <si>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</si>
  <si>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</si>
  <si>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</si>
  <si>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</si>
  <si>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</si>
  <si>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</si>
  <si>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</si>
  <si>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</si>
  <si>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</si>
  <si>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</si>
  <si>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</si>
  <si>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</si>
  <si>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</si>
  <si>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</si>
  <si>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</si>
  <si>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</si>
  <si>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</si>
  <si>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</si>
  <si>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</si>
  <si>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</si>
  <si>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</si>
  <si>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</si>
  <si>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</si>
  <si>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</si>
  <si>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</si>
  <si>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</si>
  <si>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</si>
  <si>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</si>
  <si>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</si>
  <si>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</si>
  <si>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</si>
  <si>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</si>
  <si>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</si>
  <si>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</si>
  <si>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</si>
  <si>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</si>
  <si>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</si>
  <si>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</si>
  <si>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</si>
  <si>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</si>
  <si>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</si>
  <si>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</si>
  <si>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</si>
  <si>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</si>
  <si>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</si>
  <si>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</si>
  <si>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</si>
  <si>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</si>
  <si>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</si>
  <si>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</si>
  <si>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</si>
  <si>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</si>
  <si>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</si>
  <si>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</si>
  <si>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</si>
  <si>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</si>
  <si>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</si>
  <si>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</si>
  <si>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</si>
  <si>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</si>
  <si>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</si>
  <si>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</si>
  <si>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</si>
  <si>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</si>
  <si>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</si>
  <si>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</si>
  <si>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</si>
  <si>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</si>
  <si>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</si>
  <si>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</si>
  <si>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</si>
  <si>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</si>
  <si>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</si>
  <si>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</si>
  <si>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</si>
  <si>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</si>
  <si>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</si>
  <si>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</si>
  <si>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</si>
  <si>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</si>
  <si>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</si>
  <si>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</si>
  <si>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</si>
  <si>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</si>
  <si>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</si>
  <si>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</si>
  <si>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</si>
  <si>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</si>
  <si>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</si>
  <si>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</si>
  <si>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</si>
  <si>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</si>
  <si>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</si>
  <si>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</si>
  <si>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</si>
  <si>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</si>
  <si>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</si>
  <si>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</si>
  <si>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</si>
  <si>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</si>
  <si>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</si>
  <si>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</si>
  <si>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</si>
  <si>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</si>
  <si>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</si>
  <si>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</si>
  <si>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</si>
  <si>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</si>
  <si>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</si>
  <si>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</si>
  <si>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</si>
  <si>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</si>
  <si>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</si>
  <si>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</si>
  <si>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</si>
  <si>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</si>
  <si>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</si>
  <si>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</si>
  <si>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</si>
  <si>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</si>
  <si>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</si>
  <si>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</si>
  <si>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</si>
  <si>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</si>
  <si>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</si>
  <si>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</si>
  <si>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</si>
  <si>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</si>
  <si>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</si>
  <si>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</si>
  <si>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</si>
  <si>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</si>
  <si>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</si>
  <si>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</si>
  <si>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</si>
  <si>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</si>
  <si>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</si>
  <si>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</si>
  <si>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</si>
  <si>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</si>
  <si>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</si>
  <si>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</si>
  <si>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</si>
  <si>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</si>
  <si>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</si>
  <si>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</si>
  <si>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</si>
  <si>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</si>
  <si>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</si>
  <si>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</si>
  <si>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</si>
  <si>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</si>
  <si>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</si>
  <si>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</si>
  <si>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</si>
  <si>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</si>
  <si>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</si>
  <si>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</si>
  <si>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</si>
  <si>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</si>
  <si>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</si>
  <si>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</si>
  <si>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</si>
  <si>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</si>
  <si>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</si>
  <si>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</si>
  <si>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</si>
  <si>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</si>
  <si>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</si>
  <si>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</si>
  <si>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</si>
  <si>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</si>
  <si>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</si>
  <si>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</si>
  <si>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</si>
  <si>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</si>
  <si>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</si>
  <si>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</si>
  <si>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</si>
  <si>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</si>
  <si>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</si>
  <si>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</si>
  <si>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</si>
  <si>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</si>
  <si>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</si>
  <si>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</si>
  <si>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</si>
  <si>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</si>
  <si>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</si>
  <si>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</si>
  <si>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</si>
  <si>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</si>
  <si>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</si>
  <si>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</si>
  <si>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</si>
  <si>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</si>
  <si>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</si>
  <si>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</si>
  <si>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</si>
  <si>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</si>
  <si>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</si>
  <si>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</si>
  <si>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</si>
  <si>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</si>
  <si>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</si>
  <si>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</si>
  <si>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</si>
  <si>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</si>
  <si>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</si>
  <si>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</si>
  <si>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</si>
  <si>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</si>
  <si>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</si>
  <si>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</si>
  <si>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</si>
  <si>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</si>
  <si>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</si>
  <si>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</si>
  <si>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</si>
  <si>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</si>
  <si>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</si>
  <si>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</si>
  <si>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</si>
  <si>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</si>
  <si>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</si>
  <si>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</si>
  <si>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</si>
  <si>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</si>
  <si>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</si>
  <si>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</si>
  <si>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</si>
  <si>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</si>
  <si>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</si>
  <si>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</si>
  <si>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</si>
  <si>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</si>
  <si>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</si>
  <si>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</si>
  <si>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</si>
  <si>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</si>
  <si>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</si>
  <si>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</si>
  <si>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</si>
  <si>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</si>
  <si>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</si>
  <si>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</si>
  <si>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</si>
  <si>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</si>
  <si>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</si>
  <si>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</si>
  <si>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</si>
  <si>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</si>
  <si>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</si>
  <si>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</si>
  <si>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</si>
  <si>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</si>
  <si>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</si>
  <si>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</si>
  <si>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</si>
  <si>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</si>
  <si>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</si>
  <si>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</si>
  <si>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</si>
  <si>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</si>
  <si>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</si>
  <si>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</si>
  <si>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</si>
  <si>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</si>
  <si>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</si>
  <si>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</si>
  <si>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</si>
  <si>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</si>
  <si>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</si>
  <si>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</si>
  <si>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</si>
  <si>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</si>
  <si>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</si>
  <si>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</si>
  <si>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</si>
  <si>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</si>
  <si>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</si>
  <si>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</si>
  <si>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</si>
  <si>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</si>
  <si>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</si>
  <si>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</si>
  <si>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</si>
  <si>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</si>
  <si>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</si>
  <si>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</si>
  <si>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</si>
  <si>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</si>
  <si>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</si>
  <si>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</si>
  <si>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</si>
  <si>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</si>
  <si>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</si>
  <si>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</si>
  <si>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</si>
  <si>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</si>
  <si>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</si>
  <si>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</si>
  <si>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</si>
  <si>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</si>
  <si>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</si>
  <si>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</si>
  <si>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</si>
  <si>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</si>
  <si>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</si>
  <si>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</si>
  <si>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</si>
  <si>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</si>
  <si>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</si>
  <si>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</si>
  <si>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</si>
  <si>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</si>
  <si>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</si>
  <si>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</si>
  <si>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</si>
  <si>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</si>
  <si>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</si>
  <si>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</si>
  <si>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</si>
  <si>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</si>
  <si>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</si>
  <si>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</si>
  <si>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</si>
  <si>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</si>
  <si>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</si>
  <si>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</si>
  <si>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</si>
  <si>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</si>
  <si>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</si>
  <si>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</si>
  <si>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</si>
  <si>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</si>
  <si>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</si>
  <si>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</si>
  <si>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</si>
  <si>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</si>
  <si>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</si>
  <si>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</si>
  <si>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</si>
  <si>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</si>
  <si>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</si>
  <si>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</si>
  <si>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</si>
  <si>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</si>
  <si>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</si>
  <si>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</si>
  <si>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</si>
  <si>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</si>
  <si>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</si>
  <si>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</si>
  <si>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</si>
  <si>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</si>
  <si>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</si>
  <si>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</si>
  <si>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</si>
  <si>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</si>
  <si>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</si>
  <si>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</si>
  <si>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</si>
  <si>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</si>
  <si>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</si>
  <si>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</si>
  <si>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</si>
  <si>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</si>
  <si>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</si>
  <si>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</si>
  <si>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</si>
  <si>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</si>
  <si>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</si>
  <si>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</si>
  <si>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</si>
  <si>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</si>
  <si>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</si>
  <si>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</si>
  <si>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</si>
  <si>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</si>
  <si>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</si>
  <si>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</si>
  <si>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</si>
  <si>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</si>
  <si>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</si>
  <si>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</si>
  <si>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</si>
  <si>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</si>
  <si>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</si>
  <si>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</si>
  <si>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</si>
  <si>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</si>
  <si>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</si>
  <si>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</si>
  <si>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</si>
  <si>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</si>
  <si>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</si>
  <si>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</si>
  <si>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</si>
  <si>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</si>
  <si>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</si>
  <si>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</si>
  <si>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</si>
  <si>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</si>
  <si>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</si>
  <si>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</si>
  <si>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</si>
  <si>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</si>
  <si>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</si>
  <si>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</si>
  <si>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</si>
  <si>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</si>
  <si>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</si>
  <si>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</si>
  <si>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</si>
  <si>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</si>
  <si>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</si>
  <si>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</si>
  <si>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</si>
  <si>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</si>
  <si>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</si>
  <si>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</si>
  <si>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</si>
  <si>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</si>
  <si>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</si>
  <si>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</si>
  <si>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</si>
  <si>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</si>
  <si>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</si>
  <si>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</si>
  <si>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</si>
  <si>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</si>
  <si>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</si>
  <si>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</si>
  <si>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</si>
  <si>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</si>
  <si>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</si>
  <si>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</si>
  <si>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</si>
  <si>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</si>
  <si>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</si>
  <si>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</si>
  <si>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</si>
  <si>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</si>
  <si>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</si>
  <si>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</si>
  <si>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</si>
  <si>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</si>
  <si>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</si>
  <si>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</si>
  <si>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</si>
  <si>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</si>
  <si>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</si>
  <si>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</si>
  <si>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</si>
  <si>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</si>
  <si>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</si>
  <si>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</si>
  <si>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</si>
  <si>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</si>
  <si>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</si>
  <si>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</si>
  <si>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</si>
  <si>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</si>
  <si>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</si>
  <si>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</si>
  <si>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</si>
  <si>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</si>
  <si>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</si>
  <si>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</si>
  <si>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</si>
  <si>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</si>
  <si>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</si>
  <si>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</si>
  <si>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</si>
  <si>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</si>
  <si>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</si>
  <si>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</si>
  <si>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</si>
  <si>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</si>
  <si>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</si>
  <si>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</si>
  <si>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</si>
  <si>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</si>
  <si>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</si>
  <si>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</si>
  <si>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</si>
  <si>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</si>
  <si>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</si>
  <si>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</si>
  <si>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</si>
  <si>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</si>
  <si>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</si>
  <si>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</si>
  <si>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</si>
  <si>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</si>
  <si>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</si>
  <si>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</si>
  <si>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</si>
  <si>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</si>
  <si>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</si>
  <si>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</si>
  <si>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</si>
  <si>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</si>
  <si>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</si>
  <si>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</si>
  <si>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</si>
  <si>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</si>
  <si>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</si>
  <si>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</si>
  <si>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</si>
  <si>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</si>
  <si>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</si>
  <si>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</si>
  <si>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</si>
  <si>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</si>
  <si>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</si>
  <si>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</si>
  <si>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</si>
  <si>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</si>
  <si>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</si>
  <si>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</si>
  <si>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</si>
  <si>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</si>
  <si>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</si>
  <si>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</si>
  <si>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</si>
  <si>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</si>
  <si>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</si>
  <si>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</si>
  <si>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</si>
  <si>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</si>
  <si>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</si>
  <si>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</si>
  <si>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</si>
  <si>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</si>
  <si>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</si>
  <si>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</si>
  <si>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</si>
  <si>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</si>
  <si>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</si>
  <si>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</si>
  <si>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</si>
  <si>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</si>
  <si>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</si>
  <si>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</si>
  <si>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</si>
  <si>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</si>
  <si>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</si>
  <si>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</si>
  <si>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</si>
  <si>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</si>
  <si>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</si>
  <si>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</si>
  <si>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</si>
  <si>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</si>
  <si>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</si>
  <si>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</si>
  <si>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</si>
  <si>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</si>
  <si>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</si>
  <si>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</si>
  <si>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</si>
  <si>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</si>
  <si>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</si>
  <si>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</si>
  <si>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</si>
  <si>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</si>
  <si>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</si>
  <si>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</si>
  <si>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</si>
  <si>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</si>
  <si>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</si>
  <si>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</si>
  <si>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</si>
  <si>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</si>
  <si>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</si>
  <si>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</si>
  <si>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</si>
  <si>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</si>
  <si>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</si>
  <si>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</si>
  <si>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</si>
  <si>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</si>
  <si>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</si>
  <si>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</si>
  <si>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</si>
  <si>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</si>
  <si>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</si>
  <si>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</si>
  <si>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</si>
  <si>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</si>
  <si>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</si>
  <si>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</si>
  <si>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</si>
  <si>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</si>
  <si>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</si>
  <si>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</si>
  <si>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</si>
  <si>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</si>
  <si>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</si>
  <si>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</si>
  <si>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</si>
  <si>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</si>
  <si>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</si>
  <si>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</si>
  <si>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</si>
  <si>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</si>
  <si>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</si>
  <si>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</si>
  <si>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</si>
  <si>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</si>
  <si>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</si>
  <si>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</si>
  <si>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</si>
  <si>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</si>
  <si>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</si>
  <si>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</si>
  <si>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</si>
  <si>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</si>
  <si>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</si>
  <si>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</si>
  <si>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</si>
  <si>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</si>
  <si>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</si>
  <si>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</si>
  <si>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</si>
  <si>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</si>
  <si>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</si>
  <si>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</si>
  <si>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</si>
  <si>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</si>
  <si>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</si>
  <si>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</si>
  <si>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</si>
  <si>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</si>
  <si>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</si>
  <si>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</si>
  <si>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</si>
  <si>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</si>
  <si>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</si>
  <si>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</si>
  <si>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</si>
  <si>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</si>
  <si>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</si>
  <si>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</si>
  <si>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</si>
  <si>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</si>
  <si>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</si>
  <si>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</si>
  <si>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</si>
  <si>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</si>
  <si>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</si>
  <si>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</si>
  <si>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</si>
  <si>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</si>
  <si>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</si>
  <si>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</si>
  <si>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</si>
  <si>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</si>
  <si>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</si>
  <si>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</si>
  <si>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</si>
  <si>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</si>
  <si>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</si>
  <si>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</si>
  <si>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</si>
  <si>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</si>
  <si>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</si>
  <si>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</si>
  <si>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</si>
  <si>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</si>
  <si>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</si>
  <si>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</si>
  <si>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</si>
  <si>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</si>
  <si>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</si>
  <si>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</si>
  <si>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</si>
  <si>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</si>
  <si>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</si>
  <si>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</si>
  <si>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</si>
  <si>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</si>
  <si>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</si>
  <si>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</si>
  <si>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</si>
  <si>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</si>
  <si>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</si>
  <si>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</si>
  <si>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</si>
  <si>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</si>
  <si>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</si>
  <si>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</si>
  <si>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</si>
  <si>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</si>
  <si>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</si>
  <si>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</si>
  <si>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</si>
  <si>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</si>
  <si>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</si>
  <si>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</si>
  <si>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</si>
  <si>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</si>
  <si>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</si>
  <si>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</si>
  <si>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</si>
  <si>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</si>
  <si>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</si>
  <si>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</si>
  <si>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</si>
  <si>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</si>
  <si>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</si>
  <si>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</si>
  <si>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</si>
  <si>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</si>
  <si>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</si>
  <si>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</si>
  <si>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</si>
  <si>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</si>
  <si>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</si>
  <si>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</si>
  <si>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</si>
  <si>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</si>
  <si>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</si>
  <si>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</si>
  <si>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</si>
  <si>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</si>
  <si>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</si>
  <si>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</si>
  <si>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</si>
  <si>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</si>
  <si>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</si>
  <si>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</si>
  <si>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</si>
  <si>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</si>
  <si>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</si>
  <si>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</si>
  <si>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</si>
  <si>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</si>
  <si>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</si>
  <si>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</si>
  <si>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</si>
  <si>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</si>
  <si>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</si>
  <si>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</si>
  <si>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</si>
  <si>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</si>
  <si>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</si>
  <si>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</si>
  <si>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</si>
  <si>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</si>
  <si>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</si>
  <si>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</si>
  <si>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</si>
  <si>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</si>
  <si>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</si>
  <si>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</si>
  <si>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</si>
  <si>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</si>
  <si>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</si>
  <si>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</si>
  <si>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</si>
  <si>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</si>
  <si>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</si>
  <si>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</si>
  <si>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</si>
  <si>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</si>
  <si>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</si>
  <si>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</si>
  <si>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</si>
  <si>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</si>
  <si>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</si>
  <si>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</si>
  <si>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</si>
  <si>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</si>
  <si>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</si>
  <si>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</si>
  <si>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</si>
  <si>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</si>
  <si>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</si>
  <si>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</si>
  <si>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</si>
  <si>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</si>
  <si>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</si>
  <si>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</si>
  <si>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</si>
  <si>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</si>
  <si>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</si>
  <si>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</si>
  <si>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</si>
  <si>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</si>
  <si>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</si>
  <si>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</si>
  <si>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</si>
  <si>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</si>
  <si>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</si>
  <si>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</si>
  <si>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</si>
  <si>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</si>
  <si>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</si>
  <si>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</si>
  <si>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</si>
  <si>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</si>
  <si>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</si>
  <si>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</si>
  <si>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</si>
  <si>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</si>
  <si>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</si>
  <si>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</si>
  <si>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</si>
  <si>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</si>
  <si>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</si>
  <si>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</si>
  <si>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</si>
  <si>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</si>
  <si>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</si>
  <si>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</si>
  <si>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</si>
  <si>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</si>
  <si>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</si>
  <si>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</si>
  <si>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</si>
  <si>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</si>
  <si>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</si>
  <si>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</si>
  <si>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</si>
  <si>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</si>
  <si>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WESTMORELAND SCHOOL DISTRICT</t>
  </si>
  <si>
    <t>08/07</t>
  </si>
  <si>
    <t>08/17</t>
  </si>
  <si>
    <t>08/10</t>
  </si>
  <si>
    <t>08/15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</si>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</sst>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563</v>
      </c>
      <c r="C2" s="21">
        <v>563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184956.04-41777.07+7039.79</f>
        <v>150218.76</v>
      </c>
      <c r="G9" s="18">
        <v>2165.86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283988.75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2374.48+20585.18</f>
        <v>22959.66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12643.77</v>
      </c>
      <c r="G13" s="18">
        <v>1291.55</v>
      </c>
      <c r="H13" s="18">
        <f>21142.65</f>
        <v>21142.65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136.65</v>
      </c>
      <c r="G14" s="18">
        <v>282.75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185958.84</v>
      </c>
      <c r="G19" s="41">
        <f>SUM(G9:G18)</f>
        <v>3740.16</v>
      </c>
      <c r="H19" s="41">
        <f>SUM(H9:H18)</f>
        <v>21142.65</v>
      </c>
      <c r="I19" s="41">
        <f>SUM(I9:I18)</f>
        <v>0</v>
      </c>
      <c r="J19" s="41">
        <f>SUM(J9:J18)</f>
        <v>283988.75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2374.48</v>
      </c>
      <c r="H22" s="18">
        <v>20585.18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918.41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21540.87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12595.19</v>
      </c>
      <c r="G28" s="18">
        <v>206.1</v>
      </c>
      <c r="H28" s="18">
        <f>557.47</f>
        <v>557.47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736.55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35054.47</v>
      </c>
      <c r="G32" s="41">
        <f>SUM(G22:G31)</f>
        <v>3317.13</v>
      </c>
      <c r="H32" s="41">
        <f>SUM(H22:H31)</f>
        <v>21142.65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423.03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283988.75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135904.37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150904.37</v>
      </c>
      <c r="G51" s="41">
        <f>SUM(G35:G50)</f>
        <v>423.03</v>
      </c>
      <c r="H51" s="41">
        <f>SUM(H35:H50)</f>
        <v>0</v>
      </c>
      <c r="I51" s="41">
        <f>SUM(I35:I50)</f>
        <v>0</v>
      </c>
      <c r="J51" s="41">
        <f>SUM(J35:J50)</f>
        <v>283988.75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185958.84</v>
      </c>
      <c r="G52" s="41">
        <f>G51+G32</f>
        <v>3740.16</v>
      </c>
      <c r="H52" s="41">
        <f>H51+H32</f>
        <v>21142.65</v>
      </c>
      <c r="I52" s="41">
        <f>I51+I32</f>
        <v>0</v>
      </c>
      <c r="J52" s="41">
        <f>J51+J32</f>
        <v>283988.75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2134183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2134183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300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1285.8800000000001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1285.8800000000001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890.07</v>
      </c>
      <c r="G96" s="18"/>
      <c r="H96" s="18"/>
      <c r="I96" s="18"/>
      <c r="J96" s="18">
        <f>1392.16+367.25+8.76</f>
        <v>1768.17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22824.7+1752.45</f>
        <v>24577.15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23934.63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3976.35+6466.86</f>
        <v>10443.209999999999</v>
      </c>
      <c r="G110" s="18"/>
      <c r="H110" s="18"/>
      <c r="I110" s="18">
        <v>37127.5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35267.910000000003</v>
      </c>
      <c r="G111" s="41">
        <f>SUM(G96:G110)</f>
        <v>24577.15</v>
      </c>
      <c r="H111" s="41">
        <f>SUM(H96:H110)</f>
        <v>0</v>
      </c>
      <c r="I111" s="41">
        <f>SUM(I96:I110)</f>
        <v>37127.5</v>
      </c>
      <c r="J111" s="41">
        <f>SUM(J96:J110)</f>
        <v>1768.17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2171036.79</v>
      </c>
      <c r="G112" s="41">
        <f>G60+G111</f>
        <v>24577.15</v>
      </c>
      <c r="H112" s="41">
        <f>H60+H79+H94+H111</f>
        <v>0</v>
      </c>
      <c r="I112" s="41">
        <f>I60+I111</f>
        <v>37127.5</v>
      </c>
      <c r="J112" s="41">
        <f>J60+J111</f>
        <v>1768.17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731023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397261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1128284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26730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22551.31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781.79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49281.31</v>
      </c>
      <c r="G136" s="41">
        <f>SUM(G123:G135)</f>
        <v>781.79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1177565.31</v>
      </c>
      <c r="G140" s="41">
        <f>G121+SUM(G136:G137)</f>
        <v>781.79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5919.68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340.7+20197.46</f>
        <v>20538.16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3530.32+3712.76+10255.37</f>
        <v>17498.45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23963.24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1309.35+38349.03</f>
        <v>39658.379999999997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18704.150000000001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18704.150000000001</v>
      </c>
      <c r="G162" s="41">
        <f>SUM(G150:G161)</f>
        <v>23963.24</v>
      </c>
      <c r="H162" s="41">
        <f>SUM(H150:H161)</f>
        <v>83614.67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18704.150000000001</v>
      </c>
      <c r="G169" s="41">
        <f>G147+G162+SUM(G163:G168)</f>
        <v>23963.24</v>
      </c>
      <c r="H169" s="41">
        <f>H147+H162+SUM(H163:H168)</f>
        <v>83614.67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435000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435000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41316.86</v>
      </c>
      <c r="H179" s="18"/>
      <c r="I179" s="18"/>
      <c r="J179" s="18">
        <f>26130+15000</f>
        <v>41130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9174.5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9174.5</v>
      </c>
      <c r="G183" s="41">
        <f>SUM(G179:G182)</f>
        <v>41316.86</v>
      </c>
      <c r="H183" s="41">
        <f>SUM(H179:H182)</f>
        <v>0</v>
      </c>
      <c r="I183" s="41">
        <f>SUM(I179:I182)</f>
        <v>0</v>
      </c>
      <c r="J183" s="41">
        <f>SUM(J179:J182)</f>
        <v>41130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9174.5</v>
      </c>
      <c r="G192" s="41">
        <f>G183+SUM(G188:G191)</f>
        <v>41316.86</v>
      </c>
      <c r="H192" s="41">
        <f>+H183+SUM(H188:H191)</f>
        <v>0</v>
      </c>
      <c r="I192" s="41">
        <f>I177+I183+SUM(I188:I191)</f>
        <v>435000</v>
      </c>
      <c r="J192" s="41">
        <f>J183</f>
        <v>41130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3376480.75</v>
      </c>
      <c r="G193" s="47">
        <f>G112+G140+G169+G192</f>
        <v>90639.040000000008</v>
      </c>
      <c r="H193" s="47">
        <f>H112+H140+H169+H192</f>
        <v>83614.67</v>
      </c>
      <c r="I193" s="47">
        <f>I112+I140+I169+I192</f>
        <v>472127.5</v>
      </c>
      <c r="J193" s="47">
        <f>J112+J140+J192</f>
        <v>42898.17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657410.96</v>
      </c>
      <c r="G197" s="18">
        <v>303864.67</v>
      </c>
      <c r="H197" s="18">
        <v>654.59</v>
      </c>
      <c r="I197" s="18">
        <v>23548.560000000001</v>
      </c>
      <c r="J197" s="18">
        <v>2560</v>
      </c>
      <c r="K197" s="18">
        <v>812.19</v>
      </c>
      <c r="L197" s="19">
        <f>SUM(F197:K197)</f>
        <v>988850.96999999986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119849.78</v>
      </c>
      <c r="G198" s="18">
        <v>59884.05</v>
      </c>
      <c r="H198" s="18">
        <v>85727.52</v>
      </c>
      <c r="I198" s="18">
        <v>2378.96</v>
      </c>
      <c r="J198" s="18">
        <v>1490.5</v>
      </c>
      <c r="K198" s="18">
        <v>2096</v>
      </c>
      <c r="L198" s="19">
        <f>SUM(F198:K198)</f>
        <v>271426.81000000006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10520</v>
      </c>
      <c r="G200" s="18">
        <v>2113.09</v>
      </c>
      <c r="H200" s="18">
        <v>4356</v>
      </c>
      <c r="I200" s="18">
        <v>1789.32</v>
      </c>
      <c r="J200" s="18">
        <v>467.37</v>
      </c>
      <c r="K200" s="18"/>
      <c r="L200" s="19">
        <f>SUM(F200:K200)</f>
        <v>19245.78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26849.94+22801.74+7173.4</f>
        <v>56825.08</v>
      </c>
      <c r="G202" s="18">
        <f>2204.28+1872+588.93</f>
        <v>4665.21</v>
      </c>
      <c r="H202" s="18">
        <f>2805.25+55806.63+27745.66</f>
        <v>86357.54</v>
      </c>
      <c r="I202" s="18">
        <f>206.72+363.79</f>
        <v>570.51</v>
      </c>
      <c r="J202" s="18"/>
      <c r="K202" s="18"/>
      <c r="L202" s="19">
        <f t="shared" ref="L202:L208" si="0">SUM(F202:K202)</f>
        <v>148418.34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403.46+322.45+54900.04</f>
        <v>55625.950000000004</v>
      </c>
      <c r="G203" s="18">
        <f>119.69+3145.87+20517.16</f>
        <v>23782.720000000001</v>
      </c>
      <c r="H203" s="18">
        <v>3977.66</v>
      </c>
      <c r="I203" s="18">
        <f>72.9+2833.76</f>
        <v>2906.6600000000003</v>
      </c>
      <c r="J203" s="18"/>
      <c r="K203" s="18"/>
      <c r="L203" s="19">
        <f t="shared" si="0"/>
        <v>86292.99000000002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365.75+2000</f>
        <v>2365.75</v>
      </c>
      <c r="G204" s="18">
        <f>70.89+164.2</f>
        <v>235.08999999999997</v>
      </c>
      <c r="H204" s="18">
        <f>169.13+100+80+8200+100+167090</f>
        <v>175739.13</v>
      </c>
      <c r="I204" s="18">
        <v>767.47</v>
      </c>
      <c r="J204" s="18"/>
      <c r="K204" s="18"/>
      <c r="L204" s="19">
        <f t="shared" si="0"/>
        <v>179107.44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112159</v>
      </c>
      <c r="G205" s="18">
        <v>58577.33</v>
      </c>
      <c r="H205" s="18">
        <v>13315.53</v>
      </c>
      <c r="I205" s="18">
        <f>2296.5+349.82</f>
        <v>2646.32</v>
      </c>
      <c r="J205" s="18"/>
      <c r="K205" s="18">
        <v>413</v>
      </c>
      <c r="L205" s="19">
        <f t="shared" si="0"/>
        <v>187111.18000000002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54358.11</v>
      </c>
      <c r="G207" s="18">
        <v>29724.32</v>
      </c>
      <c r="H207" s="18">
        <v>44181.43</v>
      </c>
      <c r="I207" s="18">
        <v>45507.05</v>
      </c>
      <c r="J207" s="18"/>
      <c r="K207" s="18"/>
      <c r="L207" s="19">
        <f t="shared" si="0"/>
        <v>173770.90999999997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138204.67+17865+2947.5+4567</f>
        <v>163584.17000000001</v>
      </c>
      <c r="I208" s="18"/>
      <c r="J208" s="18"/>
      <c r="K208" s="18"/>
      <c r="L208" s="19">
        <f t="shared" si="0"/>
        <v>163584.17000000001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305.47000000000003</v>
      </c>
      <c r="H209" s="18">
        <v>769.25</v>
      </c>
      <c r="I209" s="18"/>
      <c r="J209" s="18"/>
      <c r="K209" s="18"/>
      <c r="L209" s="19">
        <f>SUM(F209:K209)</f>
        <v>1074.72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1069114.6299999999</v>
      </c>
      <c r="G211" s="41">
        <f t="shared" si="1"/>
        <v>483151.95</v>
      </c>
      <c r="H211" s="41">
        <f t="shared" si="1"/>
        <v>578662.82000000007</v>
      </c>
      <c r="I211" s="41">
        <f t="shared" si="1"/>
        <v>80114.850000000006</v>
      </c>
      <c r="J211" s="41">
        <f t="shared" si="1"/>
        <v>4517.87</v>
      </c>
      <c r="K211" s="41">
        <f t="shared" si="1"/>
        <v>3321.19</v>
      </c>
      <c r="L211" s="41">
        <f t="shared" si="1"/>
        <v>2218883.31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731900.86</v>
      </c>
      <c r="I233" s="18"/>
      <c r="J233" s="18"/>
      <c r="K233" s="18"/>
      <c r="L233" s="19">
        <f>SUM(F233:K233)</f>
        <v>731900.86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159552.04</v>
      </c>
      <c r="I234" s="18"/>
      <c r="J234" s="18"/>
      <c r="K234" s="18"/>
      <c r="L234" s="19">
        <f>SUM(F234:K234)</f>
        <v>159552.04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53238.75+1660</f>
        <v>54898.75</v>
      </c>
      <c r="I244" s="18"/>
      <c r="J244" s="18"/>
      <c r="K244" s="18"/>
      <c r="L244" s="19">
        <f t="shared" si="4"/>
        <v>54898.75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946351.65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946351.65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1069114.6299999999</v>
      </c>
      <c r="G257" s="41">
        <f t="shared" si="8"/>
        <v>483151.95</v>
      </c>
      <c r="H257" s="41">
        <f t="shared" si="8"/>
        <v>1525014.4700000002</v>
      </c>
      <c r="I257" s="41">
        <f t="shared" si="8"/>
        <v>80114.850000000006</v>
      </c>
      <c r="J257" s="41">
        <f t="shared" si="8"/>
        <v>4517.87</v>
      </c>
      <c r="K257" s="41">
        <f t="shared" si="8"/>
        <v>3321.19</v>
      </c>
      <c r="L257" s="41">
        <f t="shared" si="8"/>
        <v>3165234.96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80000</v>
      </c>
      <c r="L260" s="19">
        <f>SUM(F260:K260)</f>
        <v>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15406.74</v>
      </c>
      <c r="L261" s="19">
        <f>SUM(F261:K261)</f>
        <v>15406.74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41316.86</v>
      </c>
      <c r="L263" s="19">
        <f>SUM(F263:K263)</f>
        <v>41316.86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15000+26130</f>
        <v>41130</v>
      </c>
      <c r="L266" s="19">
        <f t="shared" si="9"/>
        <v>41130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177853.6</v>
      </c>
      <c r="L270" s="41">
        <f t="shared" si="9"/>
        <v>177853.6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1069114.6299999999</v>
      </c>
      <c r="G271" s="42">
        <f t="shared" si="11"/>
        <v>483151.95</v>
      </c>
      <c r="H271" s="42">
        <f t="shared" si="11"/>
        <v>1525014.4700000002</v>
      </c>
      <c r="I271" s="42">
        <f t="shared" si="11"/>
        <v>80114.850000000006</v>
      </c>
      <c r="J271" s="42">
        <f t="shared" si="11"/>
        <v>4517.87</v>
      </c>
      <c r="K271" s="42">
        <f t="shared" si="11"/>
        <v>181174.79</v>
      </c>
      <c r="L271" s="42">
        <f t="shared" si="11"/>
        <v>3343088.56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16435.939999999999</v>
      </c>
      <c r="G276" s="18">
        <f>1257.37+92.06</f>
        <v>1349.4299999999998</v>
      </c>
      <c r="H276" s="18"/>
      <c r="I276" s="18">
        <f>400+520</f>
        <v>920</v>
      </c>
      <c r="J276" s="18">
        <f>1272+1738.32+5919.68</f>
        <v>8930</v>
      </c>
      <c r="K276" s="18"/>
      <c r="L276" s="19">
        <f>SUM(F276:K276)</f>
        <v>27635.37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28197.45</v>
      </c>
      <c r="G277" s="18">
        <f>6009+319.2+39.7+98.75+2057.13+158</f>
        <v>8681.7799999999988</v>
      </c>
      <c r="H277" s="18"/>
      <c r="I277" s="18"/>
      <c r="J277" s="18"/>
      <c r="K277" s="18"/>
      <c r="L277" s="19">
        <f>SUM(F277:K277)</f>
        <v>36879.229999999996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2850+6302.55</f>
        <v>9152.5499999999993</v>
      </c>
      <c r="G282" s="18">
        <f>218.04+482.15+396.27+921.17+9.27+28.84</f>
        <v>2055.7400000000002</v>
      </c>
      <c r="H282" s="18">
        <f>1797+635.64</f>
        <v>2432.64</v>
      </c>
      <c r="I282" s="18"/>
      <c r="J282" s="18"/>
      <c r="K282" s="18"/>
      <c r="L282" s="19">
        <f t="shared" si="12"/>
        <v>13640.929999999998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1227</v>
      </c>
      <c r="I283" s="18"/>
      <c r="J283" s="18"/>
      <c r="K283" s="18"/>
      <c r="L283" s="19">
        <f t="shared" si="12"/>
        <v>1227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4232.1400000000003</v>
      </c>
      <c r="L285" s="19">
        <f t="shared" si="12"/>
        <v>4232.1400000000003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53785.94</v>
      </c>
      <c r="G290" s="42">
        <f t="shared" si="13"/>
        <v>12086.949999999999</v>
      </c>
      <c r="H290" s="42">
        <f t="shared" si="13"/>
        <v>3659.64</v>
      </c>
      <c r="I290" s="42">
        <f t="shared" si="13"/>
        <v>920</v>
      </c>
      <c r="J290" s="42">
        <f t="shared" si="13"/>
        <v>8930</v>
      </c>
      <c r="K290" s="42">
        <f t="shared" si="13"/>
        <v>4232.1400000000003</v>
      </c>
      <c r="L290" s="41">
        <f t="shared" si="13"/>
        <v>83614.669999999984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53785.94</v>
      </c>
      <c r="G338" s="41">
        <f t="shared" si="20"/>
        <v>12086.949999999999</v>
      </c>
      <c r="H338" s="41">
        <f t="shared" si="20"/>
        <v>3659.64</v>
      </c>
      <c r="I338" s="41">
        <f t="shared" si="20"/>
        <v>920</v>
      </c>
      <c r="J338" s="41">
        <f t="shared" si="20"/>
        <v>8930</v>
      </c>
      <c r="K338" s="41">
        <f t="shared" si="20"/>
        <v>4232.1400000000003</v>
      </c>
      <c r="L338" s="41">
        <f t="shared" si="20"/>
        <v>83614.669999999984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53785.94</v>
      </c>
      <c r="G352" s="41">
        <f>G338</f>
        <v>12086.949999999999</v>
      </c>
      <c r="H352" s="41">
        <f>H338</f>
        <v>3659.64</v>
      </c>
      <c r="I352" s="41">
        <f>I338</f>
        <v>920</v>
      </c>
      <c r="J352" s="41">
        <f>J338</f>
        <v>8930</v>
      </c>
      <c r="K352" s="47">
        <f>K338+K351</f>
        <v>4232.1400000000003</v>
      </c>
      <c r="L352" s="41">
        <f>L338+L351</f>
        <v>83614.669999999984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33020.74</v>
      </c>
      <c r="G358" s="18">
        <f>13853.4+503+47.06+85.38+2303.67+2445.16+1100.21</f>
        <v>20337.879999999997</v>
      </c>
      <c r="H358" s="18">
        <f>250.54+151.8</f>
        <v>402.34000000000003</v>
      </c>
      <c r="I358" s="18">
        <f>6324.28+30229.3+285</f>
        <v>36838.58</v>
      </c>
      <c r="J358" s="18">
        <v>1076.97</v>
      </c>
      <c r="K358" s="18">
        <v>39.5</v>
      </c>
      <c r="L358" s="13">
        <f>SUM(F358:K358)</f>
        <v>91716.01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33020.74</v>
      </c>
      <c r="G362" s="47">
        <f t="shared" si="22"/>
        <v>20337.879999999997</v>
      </c>
      <c r="H362" s="47">
        <f t="shared" si="22"/>
        <v>402.34000000000003</v>
      </c>
      <c r="I362" s="47">
        <f t="shared" si="22"/>
        <v>36838.58</v>
      </c>
      <c r="J362" s="47">
        <f t="shared" si="22"/>
        <v>1076.97</v>
      </c>
      <c r="K362" s="47">
        <f t="shared" si="22"/>
        <v>39.5</v>
      </c>
      <c r="L362" s="47">
        <f t="shared" si="22"/>
        <v>91716.01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30229.3+285</f>
        <v>30514.3</v>
      </c>
      <c r="G367" s="18"/>
      <c r="H367" s="18"/>
      <c r="I367" s="56">
        <f>SUM(F367:H367)</f>
        <v>30514.3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6324.28</v>
      </c>
      <c r="G368" s="63"/>
      <c r="H368" s="63"/>
      <c r="I368" s="56">
        <f>SUM(F368:H368)</f>
        <v>6324.28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36838.58</v>
      </c>
      <c r="G369" s="47">
        <f>SUM(G367:G368)</f>
        <v>0</v>
      </c>
      <c r="H369" s="47">
        <f>SUM(H367:H368)</f>
        <v>0</v>
      </c>
      <c r="I369" s="47">
        <f>SUM(I367:I368)</f>
        <v>36838.58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56061.440000000002</v>
      </c>
      <c r="I376" s="18"/>
      <c r="J376" s="18"/>
      <c r="K376" s="18"/>
      <c r="L376" s="13">
        <f t="shared" si="23"/>
        <v>56061.440000000002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391891.56</v>
      </c>
      <c r="I379" s="18"/>
      <c r="J379" s="18"/>
      <c r="K379" s="18"/>
      <c r="L379" s="13">
        <f t="shared" si="23"/>
        <v>391891.56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9174.5</v>
      </c>
      <c r="L381" s="13">
        <f t="shared" si="23"/>
        <v>9174.5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447953</v>
      </c>
      <c r="I382" s="41">
        <f t="shared" si="24"/>
        <v>0</v>
      </c>
      <c r="J382" s="47">
        <f t="shared" si="24"/>
        <v>0</v>
      </c>
      <c r="K382" s="47">
        <f t="shared" si="24"/>
        <v>9174.5</v>
      </c>
      <c r="L382" s="47">
        <f t="shared" si="24"/>
        <v>457127.5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367.25</v>
      </c>
      <c r="I389" s="18"/>
      <c r="J389" s="24" t="s">
        <v>289</v>
      </c>
      <c r="K389" s="24" t="s">
        <v>289</v>
      </c>
      <c r="L389" s="56">
        <f t="shared" si="25"/>
        <v>15367.25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367.25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15367.25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26130</v>
      </c>
      <c r="H398" s="18">
        <v>1392.16</v>
      </c>
      <c r="I398" s="18"/>
      <c r="J398" s="24" t="s">
        <v>289</v>
      </c>
      <c r="K398" s="24" t="s">
        <v>289</v>
      </c>
      <c r="L398" s="56">
        <f t="shared" si="26"/>
        <v>27522.16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8.76</v>
      </c>
      <c r="I400" s="18"/>
      <c r="J400" s="24" t="s">
        <v>289</v>
      </c>
      <c r="K400" s="24" t="s">
        <v>289</v>
      </c>
      <c r="L400" s="56">
        <f t="shared" si="26"/>
        <v>8.76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26130</v>
      </c>
      <c r="H401" s="47">
        <f>SUM(H395:H400)</f>
        <v>1400.92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27530.92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41130</v>
      </c>
      <c r="H408" s="47">
        <f>H393+H401+H407</f>
        <v>1768.17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42898.17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65818.03</v>
      </c>
      <c r="G440" s="18">
        <f>217068.46+1102.26</f>
        <v>218170.72</v>
      </c>
      <c r="H440" s="18"/>
      <c r="I440" s="56">
        <f t="shared" si="33"/>
        <v>283988.75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65818.03</v>
      </c>
      <c r="G446" s="13">
        <f>SUM(G439:G445)</f>
        <v>218170.72</v>
      </c>
      <c r="H446" s="13">
        <f>SUM(H439:H445)</f>
        <v>0</v>
      </c>
      <c r="I446" s="13">
        <f>SUM(I439:I445)</f>
        <v>283988.75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65818.03</v>
      </c>
      <c r="G459" s="18">
        <v>218170.72</v>
      </c>
      <c r="H459" s="18"/>
      <c r="I459" s="56">
        <f t="shared" si="34"/>
        <v>283988.75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65818.03</v>
      </c>
      <c r="G460" s="83">
        <f>SUM(G454:G459)</f>
        <v>218170.72</v>
      </c>
      <c r="H460" s="83">
        <f>SUM(H454:H459)</f>
        <v>0</v>
      </c>
      <c r="I460" s="83">
        <f>SUM(I454:I459)</f>
        <v>283988.75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65818.03</v>
      </c>
      <c r="G461" s="42">
        <f>G452+G460</f>
        <v>218170.72</v>
      </c>
      <c r="H461" s="42">
        <f>H452+H460</f>
        <v>0</v>
      </c>
      <c r="I461" s="42">
        <f>I452+I460</f>
        <v>283988.75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117512.18</v>
      </c>
      <c r="G465" s="18">
        <v>1500</v>
      </c>
      <c r="H465" s="18">
        <v>0</v>
      </c>
      <c r="I465" s="18">
        <v>-15000</v>
      </c>
      <c r="J465" s="18">
        <v>241090.58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3376480.75</v>
      </c>
      <c r="G468" s="18">
        <v>90639.040000000008</v>
      </c>
      <c r="H468" s="18">
        <v>83614.67</v>
      </c>
      <c r="I468" s="18">
        <v>472127.5</v>
      </c>
      <c r="J468" s="18">
        <v>42898.17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3376480.75</v>
      </c>
      <c r="G470" s="53">
        <f>SUM(G468:G469)</f>
        <v>90639.040000000008</v>
      </c>
      <c r="H470" s="53">
        <f>SUM(H468:H469)</f>
        <v>83614.67</v>
      </c>
      <c r="I470" s="53">
        <f>SUM(I468:I469)</f>
        <v>472127.5</v>
      </c>
      <c r="J470" s="53">
        <f>SUM(J468:J469)</f>
        <v>42898.17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3343088.56</v>
      </c>
      <c r="G472" s="18">
        <v>91716.01</v>
      </c>
      <c r="H472" s="18">
        <v>83614.669999999984</v>
      </c>
      <c r="I472" s="18">
        <v>457127.5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3343088.56</v>
      </c>
      <c r="G474" s="53">
        <f>SUM(G472:G473)</f>
        <v>91716.01</v>
      </c>
      <c r="H474" s="53">
        <f>SUM(H472:H473)</f>
        <v>83614.669999999984</v>
      </c>
      <c r="I474" s="53">
        <f>SUM(I472:I473)</f>
        <v>457127.5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150904.37000000011</v>
      </c>
      <c r="G476" s="53">
        <f>(G465+G470)- G474</f>
        <v>423.03000000001339</v>
      </c>
      <c r="H476" s="53">
        <f>(H465+H470)- H474</f>
        <v>0</v>
      </c>
      <c r="I476" s="53">
        <f>(I465+I470)- I474</f>
        <v>0</v>
      </c>
      <c r="J476" s="53">
        <f>(J465+J470)- J474</f>
        <v>283988.75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5</v>
      </c>
      <c r="H490" s="154">
        <v>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915</v>
      </c>
      <c r="H491" s="155" t="s">
        <v>916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916</v>
      </c>
      <c r="H492" s="155" t="s">
        <v>917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440000</v>
      </c>
      <c r="G493" s="18">
        <v>215000</v>
      </c>
      <c r="H493" s="18">
        <v>412000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4.28</v>
      </c>
      <c r="G494" s="18">
        <v>1.99</v>
      </c>
      <c r="H494" s="18">
        <v>2.1800000000000002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120000</v>
      </c>
      <c r="G495" s="18">
        <v>40000</v>
      </c>
      <c r="H495" s="18">
        <v>0</v>
      </c>
      <c r="I495" s="18"/>
      <c r="J495" s="18"/>
      <c r="K495" s="53">
        <f>SUM(F495:J495)</f>
        <v>160000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412000</v>
      </c>
      <c r="I496" s="18"/>
      <c r="J496" s="18"/>
      <c r="K496" s="53">
        <f t="shared" ref="K496:K503" si="35">SUM(F496:J496)</f>
        <v>412000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40000</v>
      </c>
      <c r="G497" s="18">
        <v>40000</v>
      </c>
      <c r="H497" s="18">
        <v>0</v>
      </c>
      <c r="I497" s="18"/>
      <c r="J497" s="18"/>
      <c r="K497" s="53">
        <f t="shared" si="35"/>
        <v>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80000</v>
      </c>
      <c r="G498" s="204">
        <v>0</v>
      </c>
      <c r="H498" s="204">
        <v>412000</v>
      </c>
      <c r="I498" s="204"/>
      <c r="J498" s="204"/>
      <c r="K498" s="205">
        <f t="shared" si="35"/>
        <v>492000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4000</v>
      </c>
      <c r="G499" s="18">
        <v>0</v>
      </c>
      <c r="H499" s="18">
        <f>51421.74-9806.74</f>
        <v>41615</v>
      </c>
      <c r="I499" s="18"/>
      <c r="J499" s="18"/>
      <c r="K499" s="53">
        <f t="shared" si="35"/>
        <v>45615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84000</v>
      </c>
      <c r="G500" s="42">
        <f>SUM(G498:G499)</f>
        <v>0</v>
      </c>
      <c r="H500" s="42">
        <f>SUM(H498:H499)</f>
        <v>453615</v>
      </c>
      <c r="I500" s="42">
        <f>SUM(I498:I499)</f>
        <v>0</v>
      </c>
      <c r="J500" s="42">
        <f>SUM(J498:J499)</f>
        <v>0</v>
      </c>
      <c r="K500" s="42">
        <f t="shared" si="35"/>
        <v>537615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40000</v>
      </c>
      <c r="G501" s="204">
        <v>0</v>
      </c>
      <c r="H501" s="204">
        <v>85000</v>
      </c>
      <c r="I501" s="204"/>
      <c r="J501" s="204"/>
      <c r="K501" s="205">
        <f t="shared" si="35"/>
        <v>125000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3000</v>
      </c>
      <c r="G502" s="18">
        <v>0</v>
      </c>
      <c r="H502" s="18">
        <f>8446+6703.5</f>
        <v>15149.5</v>
      </c>
      <c r="I502" s="18"/>
      <c r="J502" s="18"/>
      <c r="K502" s="53">
        <f t="shared" si="35"/>
        <v>18149.5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43000</v>
      </c>
      <c r="G503" s="42">
        <f>SUM(G501:G502)</f>
        <v>0</v>
      </c>
      <c r="H503" s="42">
        <f>SUM(H501:H502)</f>
        <v>100149.5</v>
      </c>
      <c r="I503" s="42">
        <f>SUM(I501:I502)</f>
        <v>0</v>
      </c>
      <c r="J503" s="42">
        <f>SUM(J501:J502)</f>
        <v>0</v>
      </c>
      <c r="K503" s="42">
        <f t="shared" si="35"/>
        <v>143149.5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56788.72+35652.01+27409.05+28197.45</f>
        <v>148047.23000000001</v>
      </c>
      <c r="G521" s="18">
        <f>39481.78+1775.4+147.49+311.64+8537.01+8962.94+667.79+6009+319.2+39.7+98.75+2057.13+158</f>
        <v>68565.83</v>
      </c>
      <c r="H521" s="18">
        <f>800.5+77518.82+7408.2</f>
        <v>85727.52</v>
      </c>
      <c r="I521" s="18">
        <f>1709.96+669</f>
        <v>2378.96</v>
      </c>
      <c r="J521" s="18">
        <f>1490.5</f>
        <v>1490.5</v>
      </c>
      <c r="K521" s="18"/>
      <c r="L521" s="88">
        <f>SUM(F521:K521)</f>
        <v>306210.04000000004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159552.04</v>
      </c>
      <c r="I523" s="18"/>
      <c r="J523" s="18"/>
      <c r="K523" s="18"/>
      <c r="L523" s="88">
        <f>SUM(F523:K523)</f>
        <v>159552.04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148047.23000000001</v>
      </c>
      <c r="G524" s="108">
        <f t="shared" ref="G524:L524" si="36">SUM(G521:G523)</f>
        <v>68565.83</v>
      </c>
      <c r="H524" s="108">
        <f t="shared" si="36"/>
        <v>245279.56</v>
      </c>
      <c r="I524" s="108">
        <f t="shared" si="36"/>
        <v>2378.96</v>
      </c>
      <c r="J524" s="108">
        <f t="shared" si="36"/>
        <v>1490.5</v>
      </c>
      <c r="K524" s="108">
        <f t="shared" si="36"/>
        <v>0</v>
      </c>
      <c r="L524" s="89">
        <f t="shared" si="36"/>
        <v>465762.08000000007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7173.4</f>
        <v>7173.4</v>
      </c>
      <c r="G526" s="18">
        <f>548.83+40.1</f>
        <v>588.93000000000006</v>
      </c>
      <c r="H526" s="18">
        <f>454.25+55806.63+27745.66</f>
        <v>84006.54</v>
      </c>
      <c r="I526" s="18"/>
      <c r="J526" s="18"/>
      <c r="K526" s="18"/>
      <c r="L526" s="88">
        <f>SUM(F526:K526)</f>
        <v>91768.87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7173.4</v>
      </c>
      <c r="G529" s="89">
        <f t="shared" ref="G529:L529" si="37">SUM(G526:G528)</f>
        <v>588.93000000000006</v>
      </c>
      <c r="H529" s="89">
        <f t="shared" si="37"/>
        <v>84006.54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91768.87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16615</v>
      </c>
      <c r="I531" s="18"/>
      <c r="J531" s="18"/>
      <c r="K531" s="18">
        <v>2779.15</v>
      </c>
      <c r="L531" s="88">
        <f>SUM(F531:K531)</f>
        <v>19394.150000000001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16615</v>
      </c>
      <c r="I534" s="89">
        <f t="shared" si="38"/>
        <v>0</v>
      </c>
      <c r="J534" s="89">
        <f t="shared" si="38"/>
        <v>0</v>
      </c>
      <c r="K534" s="89">
        <f t="shared" si="38"/>
        <v>2779.15</v>
      </c>
      <c r="L534" s="89">
        <f t="shared" si="38"/>
        <v>19394.150000000001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17865</v>
      </c>
      <c r="I541" s="18"/>
      <c r="J541" s="18"/>
      <c r="K541" s="18"/>
      <c r="L541" s="88">
        <f>SUM(F541:K541)</f>
        <v>17865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1660</f>
        <v>1660</v>
      </c>
      <c r="I543" s="18"/>
      <c r="J543" s="18"/>
      <c r="K543" s="18"/>
      <c r="L543" s="88">
        <f>SUM(F543:K543)</f>
        <v>1660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19525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19525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155220.63</v>
      </c>
      <c r="G545" s="89">
        <f t="shared" ref="G545:L545" si="41">G524+G529+G534+G539+G544</f>
        <v>69154.759999999995</v>
      </c>
      <c r="H545" s="89">
        <f t="shared" si="41"/>
        <v>365426.1</v>
      </c>
      <c r="I545" s="89">
        <f t="shared" si="41"/>
        <v>2378.96</v>
      </c>
      <c r="J545" s="89">
        <f t="shared" si="41"/>
        <v>1490.5</v>
      </c>
      <c r="K545" s="89">
        <f t="shared" si="41"/>
        <v>2779.15</v>
      </c>
      <c r="L545" s="89">
        <f t="shared" si="41"/>
        <v>596450.10000000009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306210.04000000004</v>
      </c>
      <c r="G549" s="87">
        <f>L526</f>
        <v>91768.87</v>
      </c>
      <c r="H549" s="87">
        <f>L531</f>
        <v>19394.150000000001</v>
      </c>
      <c r="I549" s="87">
        <f>L536</f>
        <v>0</v>
      </c>
      <c r="J549" s="87">
        <f>L541</f>
        <v>17865</v>
      </c>
      <c r="K549" s="87">
        <f>SUM(F549:J549)</f>
        <v>435238.06000000006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159552.04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1660</v>
      </c>
      <c r="K551" s="87">
        <f>SUM(F551:J551)</f>
        <v>161212.04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465762.08000000007</v>
      </c>
      <c r="G552" s="89">
        <f t="shared" si="42"/>
        <v>91768.87</v>
      </c>
      <c r="H552" s="89">
        <f t="shared" si="42"/>
        <v>19394.150000000001</v>
      </c>
      <c r="I552" s="89">
        <f t="shared" si="42"/>
        <v>0</v>
      </c>
      <c r="J552" s="89">
        <f t="shared" si="42"/>
        <v>19525</v>
      </c>
      <c r="K552" s="89">
        <f t="shared" si="42"/>
        <v>596450.10000000009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731900.86</v>
      </c>
      <c r="I575" s="87">
        <f>SUM(F575:H575)</f>
        <v>731900.86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7408.2</v>
      </c>
      <c r="G579" s="18"/>
      <c r="H579" s="18">
        <v>150683.01999999999</v>
      </c>
      <c r="I579" s="87">
        <f t="shared" si="47"/>
        <v>158091.22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77518.820000000007</v>
      </c>
      <c r="G582" s="18"/>
      <c r="H582" s="18">
        <v>8869.02</v>
      </c>
      <c r="I582" s="87">
        <f t="shared" si="47"/>
        <v>86387.840000000011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138204.67000000001</v>
      </c>
      <c r="I591" s="18"/>
      <c r="J591" s="18">
        <v>53238.75</v>
      </c>
      <c r="K591" s="104">
        <f t="shared" ref="K591:K597" si="48">SUM(H591:J591)</f>
        <v>191443.42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17865</v>
      </c>
      <c r="I592" s="18"/>
      <c r="J592" s="18">
        <v>1660</v>
      </c>
      <c r="K592" s="104">
        <f t="shared" si="48"/>
        <v>19525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2947.5</v>
      </c>
      <c r="I594" s="18"/>
      <c r="J594" s="18"/>
      <c r="K594" s="104">
        <f t="shared" si="48"/>
        <v>2947.5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4567</v>
      </c>
      <c r="I595" s="18"/>
      <c r="J595" s="18"/>
      <c r="K595" s="104">
        <f t="shared" si="48"/>
        <v>4567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163584.17000000001</v>
      </c>
      <c r="I598" s="108">
        <f>SUM(I591:I597)</f>
        <v>0</v>
      </c>
      <c r="J598" s="108">
        <f>SUM(J591:J597)</f>
        <v>54898.75</v>
      </c>
      <c r="K598" s="108">
        <f>SUM(K591:K597)</f>
        <v>218482.92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13447.87</v>
      </c>
      <c r="I604" s="18"/>
      <c r="J604" s="18"/>
      <c r="K604" s="104">
        <f>SUM(H604:J604)</f>
        <v>13447.87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13447.87</v>
      </c>
      <c r="I605" s="108">
        <f>SUM(I602:I604)</f>
        <v>0</v>
      </c>
      <c r="J605" s="108">
        <f>SUM(J602:J604)</f>
        <v>0</v>
      </c>
      <c r="K605" s="108">
        <f>SUM(K602:K604)</f>
        <v>13447.87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185958.84</v>
      </c>
      <c r="H617" s="109">
        <f>SUM(F52)</f>
        <v>185958.84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3740.16</v>
      </c>
      <c r="H618" s="109">
        <f>SUM(G52)</f>
        <v>3740.16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21142.65</v>
      </c>
      <c r="H619" s="109">
        <f>SUM(H52)</f>
        <v>21142.65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283988.75</v>
      </c>
      <c r="H621" s="109">
        <f>SUM(J52)</f>
        <v>283988.75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150904.37</v>
      </c>
      <c r="H622" s="109">
        <f>F476</f>
        <v>150904.37000000011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423.03</v>
      </c>
      <c r="H623" s="109">
        <f>G476</f>
        <v>423.03000000001339</v>
      </c>
      <c r="I623" s="121" t="s">
        <v>102</v>
      </c>
      <c r="J623" s="109">
        <f t="shared" si="50"/>
        <v>-1.3415046851150692E-11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283988.75</v>
      </c>
      <c r="H626" s="109">
        <f>J476</f>
        <v>283988.75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3376480.75</v>
      </c>
      <c r="H627" s="104">
        <f>SUM(F468)</f>
        <v>3376480.75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90639.040000000008</v>
      </c>
      <c r="H628" s="104">
        <f>SUM(G468)</f>
        <v>90639.040000000008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83614.67</v>
      </c>
      <c r="H629" s="104">
        <f>SUM(H468)</f>
        <v>83614.67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472127.5</v>
      </c>
      <c r="H630" s="104">
        <f>SUM(I468)</f>
        <v>472127.5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42898.17</v>
      </c>
      <c r="H631" s="104">
        <f>SUM(J468)</f>
        <v>42898.17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3343088.56</v>
      </c>
      <c r="H632" s="104">
        <f>SUM(F472)</f>
        <v>3343088.56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83614.669999999984</v>
      </c>
      <c r="H633" s="104">
        <f>SUM(H472)</f>
        <v>83614.669999999984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36838.58</v>
      </c>
      <c r="H634" s="104">
        <f>I369</f>
        <v>36838.58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91716.01</v>
      </c>
      <c r="H635" s="104">
        <f>SUM(G472)</f>
        <v>91716.01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457127.5</v>
      </c>
      <c r="H636" s="104">
        <f>SUM(I472)</f>
        <v>457127.5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42898.17</v>
      </c>
      <c r="H637" s="164">
        <f>SUM(J468)</f>
        <v>42898.17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65818.03</v>
      </c>
      <c r="H639" s="104">
        <f>SUM(F461)</f>
        <v>65818.03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218170.72</v>
      </c>
      <c r="H640" s="104">
        <f>SUM(G461)</f>
        <v>218170.72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283988.75</v>
      </c>
      <c r="H642" s="104">
        <f>SUM(I461)</f>
        <v>283988.75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1768.17</v>
      </c>
      <c r="H644" s="104">
        <f>H408</f>
        <v>1768.17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41130</v>
      </c>
      <c r="H645" s="104">
        <f>G408</f>
        <v>41130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42898.17</v>
      </c>
      <c r="H646" s="104">
        <f>L408</f>
        <v>42898.17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218482.92</v>
      </c>
      <c r="H647" s="104">
        <f>L208+L226+L244</f>
        <v>218482.92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13447.87</v>
      </c>
      <c r="H648" s="104">
        <f>(J257+J338)-(J255+J336)</f>
        <v>13447.869999999999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163584.17000000001</v>
      </c>
      <c r="H649" s="104">
        <f>H598</f>
        <v>163584.17000000001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54898.75</v>
      </c>
      <c r="H651" s="104">
        <f>J598</f>
        <v>54898.75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41316.86</v>
      </c>
      <c r="H652" s="104">
        <f>K263+K345</f>
        <v>41316.86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41130</v>
      </c>
      <c r="H655" s="104">
        <f>K266+K347</f>
        <v>41130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2394213.9899999998</v>
      </c>
      <c r="G660" s="19">
        <f>(L229+L309+L359)</f>
        <v>0</v>
      </c>
      <c r="H660" s="19">
        <f>(L247+L328+L360)</f>
        <v>946351.65</v>
      </c>
      <c r="I660" s="19">
        <f>SUM(F660:H660)</f>
        <v>3340565.6399999997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24577.15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24577.15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163584.17000000001</v>
      </c>
      <c r="G662" s="19">
        <f>(L226+L306)-(J226+J306)</f>
        <v>0</v>
      </c>
      <c r="H662" s="19">
        <f>(L244+L325)-(J244+J325)</f>
        <v>54898.75</v>
      </c>
      <c r="I662" s="19">
        <f>SUM(F662:H662)</f>
        <v>218482.92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98374.89</v>
      </c>
      <c r="G663" s="199">
        <f>SUM(G575:G587)+SUM(I602:I604)+L612</f>
        <v>0</v>
      </c>
      <c r="H663" s="199">
        <f>SUM(H575:H587)+SUM(J602:J604)+L613</f>
        <v>891452.9</v>
      </c>
      <c r="I663" s="19">
        <f>SUM(F663:H663)</f>
        <v>989827.79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2107677.7799999998</v>
      </c>
      <c r="G664" s="19">
        <f>G660-SUM(G661:G663)</f>
        <v>0</v>
      </c>
      <c r="H664" s="19">
        <f>H660-SUM(H661:H663)</f>
        <v>0</v>
      </c>
      <c r="I664" s="19">
        <f>I660-SUM(I661:I663)</f>
        <v>2107677.7799999993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142.28</v>
      </c>
      <c r="G665" s="248"/>
      <c r="H665" s="248"/>
      <c r="I665" s="19">
        <f>SUM(F665:H665)</f>
        <v>142.28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14813.59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14813.59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14813.59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14813.59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2" sqref="A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WESTMORELAND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673846.89999999991</v>
      </c>
      <c r="C9" s="229">
        <f>'DOE25'!G197+'DOE25'!G215+'DOE25'!G233+'DOE25'!G276+'DOE25'!G295+'DOE25'!G314</f>
        <v>305214.09999999998</v>
      </c>
    </row>
    <row r="10" spans="1:3" x14ac:dyDescent="0.2">
      <c r="A10" t="s">
        <v>779</v>
      </c>
      <c r="B10" s="240">
        <v>615385.46</v>
      </c>
      <c r="C10" s="240">
        <v>278734.40999999997</v>
      </c>
    </row>
    <row r="11" spans="1:3" x14ac:dyDescent="0.2">
      <c r="A11" t="s">
        <v>780</v>
      </c>
      <c r="B11" s="240">
        <v>58461.440000000002</v>
      </c>
      <c r="C11" s="240">
        <v>26479.69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673846.89999999991</v>
      </c>
      <c r="C13" s="231">
        <f>SUM(C10:C12)</f>
        <v>305214.09999999998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148047.23000000001</v>
      </c>
      <c r="C18" s="229">
        <f>'DOE25'!G198+'DOE25'!G216+'DOE25'!G234+'DOE25'!G277+'DOE25'!G296+'DOE25'!G315</f>
        <v>68565.83</v>
      </c>
    </row>
    <row r="19" spans="1:3" x14ac:dyDescent="0.2">
      <c r="A19" t="s">
        <v>779</v>
      </c>
      <c r="B19" s="240">
        <v>84986.17</v>
      </c>
      <c r="C19" s="240">
        <v>39360.06</v>
      </c>
    </row>
    <row r="20" spans="1:3" x14ac:dyDescent="0.2">
      <c r="A20" t="s">
        <v>780</v>
      </c>
      <c r="B20" s="240">
        <v>63061.06</v>
      </c>
      <c r="C20" s="240">
        <v>29205.77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148047.22999999998</v>
      </c>
      <c r="C22" s="231">
        <f>SUM(C19:C21)</f>
        <v>68565.83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10520</v>
      </c>
      <c r="C36" s="235">
        <f>'DOE25'!G200+'DOE25'!G218+'DOE25'!G236+'DOE25'!G279+'DOE25'!G298+'DOE25'!G317</f>
        <v>2113.09</v>
      </c>
    </row>
    <row r="37" spans="1:3" x14ac:dyDescent="0.2">
      <c r="A37" t="s">
        <v>779</v>
      </c>
      <c r="B37" s="240">
        <v>9520</v>
      </c>
      <c r="C37" s="240">
        <v>1912.23</v>
      </c>
    </row>
    <row r="38" spans="1:3" x14ac:dyDescent="0.2">
      <c r="A38" t="s">
        <v>780</v>
      </c>
      <c r="B38" s="240">
        <v>1000</v>
      </c>
      <c r="C38" s="240">
        <v>200.86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10520</v>
      </c>
      <c r="C40" s="231">
        <f>SUM(C37:C39)</f>
        <v>2113.09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WESTMORELAND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2170976.46</v>
      </c>
      <c r="D5" s="20">
        <f>SUM('DOE25'!L197:L200)+SUM('DOE25'!L215:L218)+SUM('DOE25'!L233:L236)-F5-G5</f>
        <v>2163550.4</v>
      </c>
      <c r="E5" s="243"/>
      <c r="F5" s="255">
        <f>SUM('DOE25'!J197:J200)+SUM('DOE25'!J215:J218)+SUM('DOE25'!J233:J236)</f>
        <v>4517.87</v>
      </c>
      <c r="G5" s="53">
        <f>SUM('DOE25'!K197:K200)+SUM('DOE25'!K215:K218)+SUM('DOE25'!K233:K236)</f>
        <v>2908.19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148418.34</v>
      </c>
      <c r="D6" s="20">
        <f>'DOE25'!L202+'DOE25'!L220+'DOE25'!L238-F6-G6</f>
        <v>148418.34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86292.99000000002</v>
      </c>
      <c r="D7" s="20">
        <f>'DOE25'!L203+'DOE25'!L221+'DOE25'!L239-F7-G7</f>
        <v>86292.99000000002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150969</v>
      </c>
      <c r="D8" s="243"/>
      <c r="E8" s="20">
        <f>'DOE25'!L204+'DOE25'!L222+'DOE25'!L240-F8-G8-D9-D11</f>
        <v>150969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3817.4400000000005</v>
      </c>
      <c r="D9" s="244">
        <f>12017.44-8200</f>
        <v>3817.4400000000005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8200</v>
      </c>
      <c r="D10" s="243"/>
      <c r="E10" s="244">
        <v>8200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24321</v>
      </c>
      <c r="D11" s="244">
        <v>24321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187111.18000000002</v>
      </c>
      <c r="D12" s="20">
        <f>'DOE25'!L205+'DOE25'!L223+'DOE25'!L241-F12-G12</f>
        <v>186698.18000000002</v>
      </c>
      <c r="E12" s="243"/>
      <c r="F12" s="255">
        <f>'DOE25'!J205+'DOE25'!J223+'DOE25'!J241</f>
        <v>0</v>
      </c>
      <c r="G12" s="53">
        <f>'DOE25'!K205+'DOE25'!K223+'DOE25'!K241</f>
        <v>413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173770.90999999997</v>
      </c>
      <c r="D14" s="20">
        <f>'DOE25'!L207+'DOE25'!L225+'DOE25'!L243-F14-G14</f>
        <v>173770.90999999997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218482.92</v>
      </c>
      <c r="D15" s="20">
        <f>'DOE25'!L208+'DOE25'!L226+'DOE25'!L244-F15-G15</f>
        <v>218482.92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1074.72</v>
      </c>
      <c r="D16" s="243"/>
      <c r="E16" s="20">
        <f>'DOE25'!L209+'DOE25'!L227+'DOE25'!L245-F16-G16</f>
        <v>1074.72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95406.74</v>
      </c>
      <c r="D25" s="243"/>
      <c r="E25" s="243"/>
      <c r="F25" s="258"/>
      <c r="G25" s="256"/>
      <c r="H25" s="257">
        <f>'DOE25'!L260+'DOE25'!L261+'DOE25'!L341+'DOE25'!L342</f>
        <v>95406.74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61201.709999999992</v>
      </c>
      <c r="D29" s="20">
        <f>'DOE25'!L358+'DOE25'!L359+'DOE25'!L360-'DOE25'!I367-F29-G29</f>
        <v>60085.239999999991</v>
      </c>
      <c r="E29" s="243"/>
      <c r="F29" s="255">
        <f>'DOE25'!J358+'DOE25'!J359+'DOE25'!J360</f>
        <v>1076.97</v>
      </c>
      <c r="G29" s="53">
        <f>'DOE25'!K358+'DOE25'!K359+'DOE25'!K360</f>
        <v>39.5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83614.669999999984</v>
      </c>
      <c r="D31" s="20">
        <f>'DOE25'!L290+'DOE25'!L309+'DOE25'!L328+'DOE25'!L333+'DOE25'!L334+'DOE25'!L335-F31-G31</f>
        <v>70452.529999999984</v>
      </c>
      <c r="E31" s="243"/>
      <c r="F31" s="255">
        <f>'DOE25'!J290+'DOE25'!J309+'DOE25'!J328+'DOE25'!J333+'DOE25'!J334+'DOE25'!J335</f>
        <v>8930</v>
      </c>
      <c r="G31" s="53">
        <f>'DOE25'!K290+'DOE25'!K309+'DOE25'!K328+'DOE25'!K333+'DOE25'!K334+'DOE25'!K335</f>
        <v>4232.1400000000003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3135889.9499999997</v>
      </c>
      <c r="E33" s="246">
        <f>SUM(E5:E31)</f>
        <v>160243.72</v>
      </c>
      <c r="F33" s="246">
        <f>SUM(F5:F31)</f>
        <v>14524.84</v>
      </c>
      <c r="G33" s="246">
        <f>SUM(G5:G31)</f>
        <v>7592.83</v>
      </c>
      <c r="H33" s="246">
        <f>SUM(H5:H31)</f>
        <v>95406.74</v>
      </c>
    </row>
    <row r="35" spans="2:8" ht="12" thickBot="1" x14ac:dyDescent="0.25">
      <c r="B35" s="253" t="s">
        <v>847</v>
      </c>
      <c r="D35" s="254">
        <f>E33</f>
        <v>160243.72</v>
      </c>
      <c r="E35" s="249"/>
    </row>
    <row r="36" spans="2:8" ht="12" thickTop="1" x14ac:dyDescent="0.2">
      <c r="B36" t="s">
        <v>815</v>
      </c>
      <c r="D36" s="20">
        <f>D33</f>
        <v>3135889.9499999997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150218.76</v>
      </c>
      <c r="D8" s="95">
        <f>'DOE25'!G9</f>
        <v>2165.86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283988.75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22959.66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12643.77</v>
      </c>
      <c r="D12" s="95">
        <f>'DOE25'!G13</f>
        <v>1291.55</v>
      </c>
      <c r="E12" s="95">
        <f>'DOE25'!H13</f>
        <v>21142.65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136.65</v>
      </c>
      <c r="D13" s="95">
        <f>'DOE25'!G14</f>
        <v>282.75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185958.84</v>
      </c>
      <c r="D18" s="41">
        <f>SUM(D8:D17)</f>
        <v>3740.16</v>
      </c>
      <c r="E18" s="41">
        <f>SUM(E8:E17)</f>
        <v>21142.65</v>
      </c>
      <c r="F18" s="41">
        <f>SUM(F8:F17)</f>
        <v>0</v>
      </c>
      <c r="G18" s="41">
        <f>SUM(G8:G17)</f>
        <v>283988.75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2374.48</v>
      </c>
      <c r="E21" s="95">
        <f>'DOE25'!H22</f>
        <v>20585.18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918.41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21540.87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12595.19</v>
      </c>
      <c r="D27" s="95">
        <f>'DOE25'!G28</f>
        <v>206.1</v>
      </c>
      <c r="E27" s="95">
        <f>'DOE25'!H28</f>
        <v>557.47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736.55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35054.47</v>
      </c>
      <c r="D31" s="41">
        <f>SUM(D21:D30)</f>
        <v>3317.13</v>
      </c>
      <c r="E31" s="41">
        <f>SUM(E21:E30)</f>
        <v>21142.65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423.03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283988.75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135904.37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150904.37</v>
      </c>
      <c r="D50" s="41">
        <f>SUM(D34:D49)</f>
        <v>423.03</v>
      </c>
      <c r="E50" s="41">
        <f>SUM(E34:E49)</f>
        <v>0</v>
      </c>
      <c r="F50" s="41">
        <f>SUM(F34:F49)</f>
        <v>0</v>
      </c>
      <c r="G50" s="41">
        <f>SUM(G34:G49)</f>
        <v>283988.75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185958.84</v>
      </c>
      <c r="D51" s="41">
        <f>D50+D31</f>
        <v>3740.16</v>
      </c>
      <c r="E51" s="41">
        <f>E50+E31</f>
        <v>21142.65</v>
      </c>
      <c r="F51" s="41">
        <f>F50+F31</f>
        <v>0</v>
      </c>
      <c r="G51" s="41">
        <f>G50+G31</f>
        <v>283988.75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2134183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1285.8800000000001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890.07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1768.17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24577.15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34377.839999999997</v>
      </c>
      <c r="D61" s="95">
        <f>SUM('DOE25'!G98:G110)</f>
        <v>0</v>
      </c>
      <c r="E61" s="95">
        <f>SUM('DOE25'!H98:H110)</f>
        <v>0</v>
      </c>
      <c r="F61" s="95">
        <f>SUM('DOE25'!I98:I110)</f>
        <v>37127.5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36853.789999999994</v>
      </c>
      <c r="D62" s="130">
        <f>SUM(D57:D61)</f>
        <v>24577.15</v>
      </c>
      <c r="E62" s="130">
        <f>SUM(E57:E61)</f>
        <v>0</v>
      </c>
      <c r="F62" s="130">
        <f>SUM(F57:F61)</f>
        <v>37127.5</v>
      </c>
      <c r="G62" s="130">
        <f>SUM(G57:G61)</f>
        <v>1768.17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2171036.79</v>
      </c>
      <c r="D63" s="22">
        <f>D56+D62</f>
        <v>24577.15</v>
      </c>
      <c r="E63" s="22">
        <f>E56+E62</f>
        <v>0</v>
      </c>
      <c r="F63" s="22">
        <f>F56+F62</f>
        <v>37127.5</v>
      </c>
      <c r="G63" s="22">
        <f>G56+G62</f>
        <v>1768.17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731023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397261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1128284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26730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22551.31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781.79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49281.31</v>
      </c>
      <c r="D78" s="130">
        <f>SUM(D72:D77)</f>
        <v>781.79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1177565.31</v>
      </c>
      <c r="D81" s="130">
        <f>SUM(D79:D80)+D78+D70</f>
        <v>781.79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5919.68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18704.150000000001</v>
      </c>
      <c r="D88" s="95">
        <f>SUM('DOE25'!G153:G161)</f>
        <v>23963.24</v>
      </c>
      <c r="E88" s="95">
        <f>SUM('DOE25'!H153:H161)</f>
        <v>77694.989999999991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18704.150000000001</v>
      </c>
      <c r="D91" s="131">
        <f>SUM(D85:D90)</f>
        <v>23963.24</v>
      </c>
      <c r="E91" s="131">
        <f>SUM(E85:E90)</f>
        <v>83614.669999999984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435000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41316.86</v>
      </c>
      <c r="E96" s="95">
        <f>'DOE25'!H179</f>
        <v>0</v>
      </c>
      <c r="F96" s="95">
        <f>'DOE25'!I179</f>
        <v>0</v>
      </c>
      <c r="G96" s="95">
        <f>'DOE25'!J179</f>
        <v>41130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9174.5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9174.5</v>
      </c>
      <c r="D103" s="86">
        <f>SUM(D93:D102)</f>
        <v>41316.86</v>
      </c>
      <c r="E103" s="86">
        <f>SUM(E93:E102)</f>
        <v>0</v>
      </c>
      <c r="F103" s="86">
        <f>SUM(F93:F102)</f>
        <v>435000</v>
      </c>
      <c r="G103" s="86">
        <f>SUM(G93:G102)</f>
        <v>41130</v>
      </c>
    </row>
    <row r="104" spans="1:7" ht="12.75" thickTop="1" thickBot="1" x14ac:dyDescent="0.25">
      <c r="A104" s="33" t="s">
        <v>765</v>
      </c>
      <c r="C104" s="86">
        <f>C63+C81+C91+C103</f>
        <v>3376480.75</v>
      </c>
      <c r="D104" s="86">
        <f>D63+D81+D91+D103</f>
        <v>90639.040000000008</v>
      </c>
      <c r="E104" s="86">
        <f>E63+E81+E91+E103</f>
        <v>83614.669999999984</v>
      </c>
      <c r="F104" s="86">
        <f>F63+F81+F91+F103</f>
        <v>472127.5</v>
      </c>
      <c r="G104" s="86">
        <f>G63+G81+G103</f>
        <v>42898.17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1720751.8299999998</v>
      </c>
      <c r="D109" s="24" t="s">
        <v>289</v>
      </c>
      <c r="E109" s="95">
        <f>('DOE25'!L276)+('DOE25'!L295)+('DOE25'!L314)</f>
        <v>27635.37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430978.85000000009</v>
      </c>
      <c r="D110" s="24" t="s">
        <v>289</v>
      </c>
      <c r="E110" s="95">
        <f>('DOE25'!L277)+('DOE25'!L296)+('DOE25'!L315)</f>
        <v>36879.229999999996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19245.78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2170976.4599999995</v>
      </c>
      <c r="D115" s="86">
        <f>SUM(D109:D114)</f>
        <v>0</v>
      </c>
      <c r="E115" s="86">
        <f>SUM(E109:E114)</f>
        <v>64514.599999999991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148418.34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86292.99000000002</v>
      </c>
      <c r="D119" s="24" t="s">
        <v>289</v>
      </c>
      <c r="E119" s="95">
        <f>+('DOE25'!L282)+('DOE25'!L301)+('DOE25'!L320)</f>
        <v>13640.929999999998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179107.44</v>
      </c>
      <c r="D120" s="24" t="s">
        <v>289</v>
      </c>
      <c r="E120" s="95">
        <f>+('DOE25'!L283)+('DOE25'!L302)+('DOE25'!L321)</f>
        <v>1227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187111.18000000002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4232.1400000000003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173770.90999999997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218482.92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1074.72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91716.01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994258.50000000012</v>
      </c>
      <c r="D128" s="86">
        <f>SUM(D118:D127)</f>
        <v>91716.01</v>
      </c>
      <c r="E128" s="86">
        <f>SUM(E118:E127)</f>
        <v>19100.07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447953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15406.74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9174.5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41316.86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15367.25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27530.92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-1768.1699999999983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177853.60000000003</v>
      </c>
      <c r="D144" s="141">
        <f>SUM(D130:D143)</f>
        <v>0</v>
      </c>
      <c r="E144" s="141">
        <f>SUM(E130:E143)</f>
        <v>0</v>
      </c>
      <c r="F144" s="141">
        <f>SUM(F130:F143)</f>
        <v>457127.5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3343088.5599999996</v>
      </c>
      <c r="D145" s="86">
        <f>(D115+D128+D144)</f>
        <v>91716.01</v>
      </c>
      <c r="E145" s="86">
        <f>(E115+E128+E144)</f>
        <v>83614.669999999984</v>
      </c>
      <c r="F145" s="86">
        <f>(F115+F128+F144)</f>
        <v>457127.5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08/07</v>
      </c>
      <c r="C152" s="152" t="str">
        <f>'DOE25'!G491</f>
        <v>08/10</v>
      </c>
      <c r="D152" s="152" t="str">
        <f>'DOE25'!H491</f>
        <v>08/15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 t="str">
        <f>'DOE25'!G492</f>
        <v>08/15</v>
      </c>
      <c r="D153" s="152" t="str">
        <f>'DOE25'!H492</f>
        <v>08/20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440000</v>
      </c>
      <c r="C154" s="137">
        <f>'DOE25'!G493</f>
        <v>215000</v>
      </c>
      <c r="D154" s="137">
        <f>'DOE25'!H493</f>
        <v>412000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4.28</v>
      </c>
      <c r="C155" s="137">
        <f>'DOE25'!G494</f>
        <v>1.99</v>
      </c>
      <c r="D155" s="137">
        <f>'DOE25'!H494</f>
        <v>2.1800000000000002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120000</v>
      </c>
      <c r="C156" s="137">
        <f>'DOE25'!G495</f>
        <v>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412000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412000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80000</v>
      </c>
    </row>
    <row r="159" spans="1:9" x14ac:dyDescent="0.2">
      <c r="A159" s="22" t="s">
        <v>35</v>
      </c>
      <c r="B159" s="137">
        <f>'DOE25'!F498</f>
        <v>80000</v>
      </c>
      <c r="C159" s="137">
        <f>'DOE25'!G498</f>
        <v>0</v>
      </c>
      <c r="D159" s="137">
        <f>'DOE25'!H498</f>
        <v>412000</v>
      </c>
      <c r="E159" s="137">
        <f>'DOE25'!I498</f>
        <v>0</v>
      </c>
      <c r="F159" s="137">
        <f>'DOE25'!J498</f>
        <v>0</v>
      </c>
      <c r="G159" s="138">
        <f t="shared" si="0"/>
        <v>492000</v>
      </c>
    </row>
    <row r="160" spans="1:9" x14ac:dyDescent="0.2">
      <c r="A160" s="22" t="s">
        <v>36</v>
      </c>
      <c r="B160" s="137">
        <f>'DOE25'!F499</f>
        <v>4000</v>
      </c>
      <c r="C160" s="137">
        <f>'DOE25'!G499</f>
        <v>0</v>
      </c>
      <c r="D160" s="137">
        <f>'DOE25'!H499</f>
        <v>41615</v>
      </c>
      <c r="E160" s="137">
        <f>'DOE25'!I499</f>
        <v>0</v>
      </c>
      <c r="F160" s="137">
        <f>'DOE25'!J499</f>
        <v>0</v>
      </c>
      <c r="G160" s="138">
        <f t="shared" si="0"/>
        <v>45615</v>
      </c>
    </row>
    <row r="161" spans="1:7" x14ac:dyDescent="0.2">
      <c r="A161" s="22" t="s">
        <v>37</v>
      </c>
      <c r="B161" s="137">
        <f>'DOE25'!F500</f>
        <v>84000</v>
      </c>
      <c r="C161" s="137">
        <f>'DOE25'!G500</f>
        <v>0</v>
      </c>
      <c r="D161" s="137">
        <f>'DOE25'!H500</f>
        <v>453615</v>
      </c>
      <c r="E161" s="137">
        <f>'DOE25'!I500</f>
        <v>0</v>
      </c>
      <c r="F161" s="137">
        <f>'DOE25'!J500</f>
        <v>0</v>
      </c>
      <c r="G161" s="138">
        <f t="shared" si="0"/>
        <v>537615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0</v>
      </c>
      <c r="D162" s="137">
        <f>'DOE25'!H501</f>
        <v>85000</v>
      </c>
      <c r="E162" s="137">
        <f>'DOE25'!I501</f>
        <v>0</v>
      </c>
      <c r="F162" s="137">
        <f>'DOE25'!J501</f>
        <v>0</v>
      </c>
      <c r="G162" s="138">
        <f t="shared" si="0"/>
        <v>125000</v>
      </c>
    </row>
    <row r="163" spans="1:7" x14ac:dyDescent="0.2">
      <c r="A163" s="22" t="s">
        <v>39</v>
      </c>
      <c r="B163" s="137">
        <f>'DOE25'!F502</f>
        <v>3000</v>
      </c>
      <c r="C163" s="137">
        <f>'DOE25'!G502</f>
        <v>0</v>
      </c>
      <c r="D163" s="137">
        <f>'DOE25'!H502</f>
        <v>15149.5</v>
      </c>
      <c r="E163" s="137">
        <f>'DOE25'!I502</f>
        <v>0</v>
      </c>
      <c r="F163" s="137">
        <f>'DOE25'!J502</f>
        <v>0</v>
      </c>
      <c r="G163" s="138">
        <f t="shared" si="0"/>
        <v>18149.5</v>
      </c>
    </row>
    <row r="164" spans="1:7" x14ac:dyDescent="0.2">
      <c r="A164" s="22" t="s">
        <v>246</v>
      </c>
      <c r="B164" s="137">
        <f>'DOE25'!F503</f>
        <v>43000</v>
      </c>
      <c r="C164" s="137">
        <f>'DOE25'!G503</f>
        <v>0</v>
      </c>
      <c r="D164" s="137">
        <f>'DOE25'!H503</f>
        <v>100149.5</v>
      </c>
      <c r="E164" s="137">
        <f>'DOE25'!I503</f>
        <v>0</v>
      </c>
      <c r="F164" s="137">
        <f>'DOE25'!J503</f>
        <v>0</v>
      </c>
      <c r="G164" s="138">
        <f t="shared" si="0"/>
        <v>143149.5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WESTMORELAND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14814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14814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1748387</v>
      </c>
      <c r="D10" s="182">
        <f>ROUND((C10/$C$28)*100,1)</f>
        <v>52.5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467858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19246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148418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99934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181409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187111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4232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173771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218483</v>
      </c>
      <c r="D21" s="182">
        <f t="shared" si="0"/>
        <v>6.6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15407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67138.850000000006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3331394.85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447953</v>
      </c>
    </row>
    <row r="30" spans="1:4" x14ac:dyDescent="0.2">
      <c r="B30" s="187" t="s">
        <v>729</v>
      </c>
      <c r="C30" s="180">
        <f>SUM(C28:C29)</f>
        <v>3779347.85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2134183</v>
      </c>
      <c r="D35" s="182">
        <f t="shared" ref="D35:D40" si="1">ROUND((C35/$C$41)*100,1)</f>
        <v>60.7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75749.459999999963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1128284</v>
      </c>
      <c r="D37" s="182">
        <f t="shared" si="1"/>
        <v>32.1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50063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126282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3514561.46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435000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WESTMORELAND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2016-09-23T18:23:50Z</dcterms:modified>
</cp:coreProperties>
</file>