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170" windowHeight="71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C20" i="10" s="1"/>
  <c r="F15" i="13"/>
  <c r="G15" i="13"/>
  <c r="L208" i="1"/>
  <c r="L226" i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6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D115" i="2"/>
  <c r="F115" i="2"/>
  <c r="G115" i="2"/>
  <c r="E119" i="2"/>
  <c r="E120" i="2"/>
  <c r="E121" i="2"/>
  <c r="E122" i="2"/>
  <c r="E123" i="2"/>
  <c r="E124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J617" i="1" s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I545" i="1" s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 s="1"/>
  <c r="G647" i="1" s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J639" i="1" s="1"/>
  <c r="G641" i="1"/>
  <c r="H641" i="1"/>
  <c r="H642" i="1"/>
  <c r="G643" i="1"/>
  <c r="H643" i="1"/>
  <c r="G644" i="1"/>
  <c r="H645" i="1"/>
  <c r="G649" i="1"/>
  <c r="G650" i="1"/>
  <c r="G652" i="1"/>
  <c r="H652" i="1"/>
  <c r="G653" i="1"/>
  <c r="H653" i="1"/>
  <c r="G654" i="1"/>
  <c r="H654" i="1"/>
  <c r="H655" i="1"/>
  <c r="F192" i="1"/>
  <c r="L256" i="1"/>
  <c r="K257" i="1"/>
  <c r="I257" i="1"/>
  <c r="I271" i="1" s="1"/>
  <c r="G257" i="1"/>
  <c r="G271" i="1" s="1"/>
  <c r="G164" i="2"/>
  <c r="C18" i="2"/>
  <c r="C26" i="10"/>
  <c r="A31" i="12"/>
  <c r="D62" i="2"/>
  <c r="D63" i="2" s="1"/>
  <c r="D18" i="13"/>
  <c r="C18" i="13" s="1"/>
  <c r="D18" i="2"/>
  <c r="D17" i="13"/>
  <c r="C17" i="13" s="1"/>
  <c r="F78" i="2"/>
  <c r="F81" i="2" s="1"/>
  <c r="D31" i="2"/>
  <c r="D50" i="2"/>
  <c r="G157" i="2"/>
  <c r="F18" i="2"/>
  <c r="G161" i="2"/>
  <c r="G156" i="2"/>
  <c r="E103" i="2"/>
  <c r="E62" i="2"/>
  <c r="E63" i="2" s="1"/>
  <c r="E31" i="2"/>
  <c r="G62" i="2"/>
  <c r="D19" i="13"/>
  <c r="C19" i="13" s="1"/>
  <c r="D14" i="13"/>
  <c r="C14" i="13" s="1"/>
  <c r="E78" i="2"/>
  <c r="E81" i="2" s="1"/>
  <c r="L427" i="1"/>
  <c r="H112" i="1"/>
  <c r="J641" i="1"/>
  <c r="J571" i="1"/>
  <c r="K571" i="1"/>
  <c r="L433" i="1"/>
  <c r="L419" i="1"/>
  <c r="D81" i="2"/>
  <c r="I169" i="1"/>
  <c r="H169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F169" i="1"/>
  <c r="J140" i="1"/>
  <c r="F571" i="1"/>
  <c r="H257" i="1"/>
  <c r="H271" i="1" s="1"/>
  <c r="I552" i="1"/>
  <c r="K550" i="1"/>
  <c r="G22" i="2"/>
  <c r="J552" i="1"/>
  <c r="H552" i="1"/>
  <c r="H140" i="1"/>
  <c r="L393" i="1"/>
  <c r="C138" i="2" s="1"/>
  <c r="A13" i="12"/>
  <c r="F22" i="13"/>
  <c r="H25" i="13"/>
  <c r="C25" i="13" s="1"/>
  <c r="H571" i="1"/>
  <c r="L560" i="1"/>
  <c r="H338" i="1"/>
  <c r="H352" i="1" s="1"/>
  <c r="F338" i="1"/>
  <c r="F352" i="1" s="1"/>
  <c r="G192" i="1"/>
  <c r="H192" i="1"/>
  <c r="L309" i="1"/>
  <c r="L570" i="1"/>
  <c r="G36" i="2"/>
  <c r="C22" i="13"/>
  <c r="H33" i="13"/>
  <c r="A40" i="12" l="1"/>
  <c r="K545" i="1"/>
  <c r="K551" i="1"/>
  <c r="G545" i="1"/>
  <c r="H545" i="1"/>
  <c r="G552" i="1"/>
  <c r="K549" i="1"/>
  <c r="K552" i="1" s="1"/>
  <c r="F552" i="1"/>
  <c r="L524" i="1"/>
  <c r="L545" i="1" s="1"/>
  <c r="K352" i="1"/>
  <c r="C19" i="10"/>
  <c r="L328" i="1"/>
  <c r="G338" i="1"/>
  <c r="G352" i="1" s="1"/>
  <c r="E118" i="2"/>
  <c r="E128" i="2" s="1"/>
  <c r="J338" i="1"/>
  <c r="J352" i="1" s="1"/>
  <c r="L290" i="1"/>
  <c r="C15" i="10"/>
  <c r="E115" i="2"/>
  <c r="K271" i="1"/>
  <c r="J655" i="1"/>
  <c r="J644" i="1"/>
  <c r="G645" i="1"/>
  <c r="J645" i="1" s="1"/>
  <c r="J640" i="1"/>
  <c r="L401" i="1"/>
  <c r="C139" i="2" s="1"/>
  <c r="J649" i="1"/>
  <c r="C29" i="10"/>
  <c r="D7" i="13"/>
  <c r="C7" i="13" s="1"/>
  <c r="J257" i="1"/>
  <c r="J271" i="1" s="1"/>
  <c r="G651" i="1"/>
  <c r="J651" i="1" s="1"/>
  <c r="E13" i="13"/>
  <c r="C13" i="13" s="1"/>
  <c r="C125" i="2"/>
  <c r="C21" i="10"/>
  <c r="C123" i="2"/>
  <c r="C17" i="10"/>
  <c r="C119" i="2"/>
  <c r="C118" i="2"/>
  <c r="D15" i="13"/>
  <c r="C15" i="13" s="1"/>
  <c r="H647" i="1"/>
  <c r="J647" i="1" s="1"/>
  <c r="F662" i="1"/>
  <c r="I662" i="1" s="1"/>
  <c r="E16" i="13"/>
  <c r="C16" i="13" s="1"/>
  <c r="C122" i="2"/>
  <c r="D6" i="13"/>
  <c r="C6" i="13" s="1"/>
  <c r="C111" i="2"/>
  <c r="C10" i="10"/>
  <c r="D5" i="13"/>
  <c r="C5" i="13" s="1"/>
  <c r="C18" i="10"/>
  <c r="L247" i="1"/>
  <c r="D12" i="13"/>
  <c r="C12" i="13" s="1"/>
  <c r="E8" i="13"/>
  <c r="C8" i="13" s="1"/>
  <c r="C120" i="2"/>
  <c r="C13" i="10"/>
  <c r="C112" i="2"/>
  <c r="L211" i="1"/>
  <c r="C91" i="2"/>
  <c r="C81" i="2"/>
  <c r="C62" i="2"/>
  <c r="C63" i="2" s="1"/>
  <c r="C35" i="10"/>
  <c r="F112" i="1"/>
  <c r="F661" i="1"/>
  <c r="D29" i="13"/>
  <c r="C29" i="13" s="1"/>
  <c r="D127" i="2"/>
  <c r="D128" i="2" s="1"/>
  <c r="D145" i="2" s="1"/>
  <c r="G661" i="1"/>
  <c r="H661" i="1"/>
  <c r="J62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C27" i="10"/>
  <c r="G635" i="1"/>
  <c r="J635" i="1" s="1"/>
  <c r="E33" i="13" l="1"/>
  <c r="D35" i="13" s="1"/>
  <c r="L338" i="1"/>
  <c r="L352" i="1" s="1"/>
  <c r="G633" i="1" s="1"/>
  <c r="J633" i="1" s="1"/>
  <c r="H660" i="1"/>
  <c r="D31" i="13"/>
  <c r="C31" i="13" s="1"/>
  <c r="E145" i="2"/>
  <c r="H648" i="1"/>
  <c r="J648" i="1" s="1"/>
  <c r="C128" i="2"/>
  <c r="C115" i="2"/>
  <c r="C28" i="10"/>
  <c r="D24" i="10" s="1"/>
  <c r="L257" i="1"/>
  <c r="L271" i="1" s="1"/>
  <c r="G632" i="1" s="1"/>
  <c r="J632" i="1" s="1"/>
  <c r="F660" i="1"/>
  <c r="F664" i="1" s="1"/>
  <c r="C104" i="2"/>
  <c r="F193" i="1"/>
  <c r="G627" i="1" s="1"/>
  <c r="J627" i="1" s="1"/>
  <c r="C36" i="10"/>
  <c r="I661" i="1"/>
  <c r="G664" i="1"/>
  <c r="H664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23" i="10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I660" i="1"/>
  <c r="I664" i="1" s="1"/>
  <c r="I672" i="1" s="1"/>
  <c r="C7" i="10" s="1"/>
  <c r="F672" i="1"/>
  <c r="C4" i="10" s="1"/>
  <c r="F667" i="1"/>
  <c r="G667" i="1"/>
  <c r="G672" i="1"/>
  <c r="C5" i="10" s="1"/>
  <c r="H667" i="1"/>
  <c r="H672" i="1"/>
  <c r="C6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<sst xmlns="http://schemas.openxmlformats.org/spreadsheetml/2006/main" count="3960" uniqueCount="913">
  <si>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</si>
  <si>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</si>
  <si>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</si>
  <si>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</si>
  <si>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</si>
  <si>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</si>
  <si>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</si>
  <si>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</si>
  <si>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</si>
  <si>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</si>
  <si>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</si>
  <si>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</si>
  <si>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</si>
  <si>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</si>
  <si>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</si>
  <si>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</si>
  <si>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</si>
  <si>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</si>
  <si>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</si>
  <si>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</si>
  <si>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</si>
  <si>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</si>
  <si>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</si>
  <si>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</si>
  <si>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</si>
  <si>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</si>
  <si>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</si>
  <si>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</si>
  <si>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</si>
  <si>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</si>
  <si>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</si>
  <si>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</si>
  <si>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</si>
  <si>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</si>
  <si>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</si>
  <si>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</si>
  <si>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</si>
  <si>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</si>
  <si>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</si>
  <si>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</si>
  <si>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</si>
  <si>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</si>
  <si>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</si>
  <si>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</si>
  <si>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</si>
  <si>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</si>
  <si>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</si>
  <si>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</si>
  <si>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</si>
  <si>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</si>
  <si>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</si>
  <si>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</si>
  <si>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</si>
  <si>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</si>
  <si>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</si>
  <si>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</si>
  <si>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</si>
  <si>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</si>
  <si>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</si>
  <si>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</si>
  <si>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</si>
  <si>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</si>
  <si>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</si>
  <si>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</si>
  <si>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</si>
  <si>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</si>
  <si>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</si>
  <si>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</si>
  <si>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</si>
  <si>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</si>
  <si>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</si>
  <si>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</si>
  <si>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</si>
  <si>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</si>
  <si>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</si>
  <si>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</si>
  <si>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</si>
  <si>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</si>
  <si>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</si>
  <si>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</si>
  <si>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</si>
  <si>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</si>
  <si>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</si>
  <si>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</si>
  <si>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</si>
  <si>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</si>
  <si>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</si>
  <si>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</si>
  <si>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</si>
  <si>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</si>
  <si>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</si>
  <si>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</si>
  <si>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</si>
  <si>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</si>
  <si>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</si>
  <si>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</si>
  <si>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</si>
  <si>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</si>
  <si>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</si>
  <si>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</si>
  <si>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</si>
  <si>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</si>
  <si>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</si>
  <si>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</si>
  <si>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</si>
  <si>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</si>
  <si>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</si>
  <si>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</si>
  <si>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</si>
  <si>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</si>
  <si>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</si>
  <si>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</si>
  <si>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</si>
  <si>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</si>
  <si>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</si>
  <si>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</si>
  <si>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</si>
  <si>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</si>
  <si>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</si>
  <si>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</si>
  <si>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</si>
  <si>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</si>
  <si>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</si>
  <si>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</si>
  <si>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</si>
  <si>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</si>
  <si>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</si>
  <si>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</si>
  <si>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</si>
  <si>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</si>
  <si>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</si>
  <si>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</si>
  <si>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</si>
  <si>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</si>
  <si>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</si>
  <si>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</si>
  <si>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</si>
  <si>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</si>
  <si>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</si>
  <si>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</si>
  <si>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</si>
  <si>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</si>
  <si>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</si>
  <si>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</si>
  <si>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</si>
  <si>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</si>
  <si>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</si>
  <si>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</si>
  <si>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</si>
  <si>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</si>
  <si>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</si>
  <si>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</si>
  <si>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</si>
  <si>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</si>
  <si>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</si>
  <si>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</si>
  <si>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</si>
  <si>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</si>
  <si>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</si>
  <si>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</si>
  <si>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</si>
  <si>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</si>
  <si>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</si>
  <si>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</si>
  <si>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</si>
  <si>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</si>
  <si>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</si>
  <si>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</si>
  <si>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</si>
  <si>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</si>
  <si>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</si>
  <si>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</si>
  <si>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</si>
  <si>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</si>
  <si>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</si>
  <si>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</si>
  <si>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</si>
  <si>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</si>
  <si>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</si>
  <si>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</si>
  <si>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</si>
  <si>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</si>
  <si>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</si>
  <si>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</si>
  <si>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</si>
  <si>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</si>
  <si>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</si>
  <si>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</si>
  <si>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</si>
  <si>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</si>
  <si>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</si>
  <si>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</si>
  <si>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</si>
  <si>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</si>
  <si>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</si>
  <si>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</si>
  <si>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</si>
  <si>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</si>
  <si>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</si>
  <si>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</si>
  <si>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</si>
  <si>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</si>
  <si>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</si>
  <si>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</si>
  <si>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</si>
  <si>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</si>
  <si>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</si>
  <si>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</si>
  <si>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</si>
  <si>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</si>
  <si>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</si>
  <si>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</si>
  <si>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</si>
  <si>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</si>
  <si>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</si>
  <si>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</si>
  <si>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</si>
  <si>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</si>
  <si>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</si>
  <si>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</si>
  <si>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</si>
  <si>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</si>
  <si>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</si>
  <si>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</si>
  <si>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</si>
  <si>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</si>
  <si>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</si>
  <si>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</si>
  <si>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</si>
  <si>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</si>
  <si>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</si>
  <si>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</si>
  <si>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</si>
  <si>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</si>
  <si>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</si>
  <si>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</si>
  <si>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</si>
  <si>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</si>
  <si>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</si>
  <si>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</si>
  <si>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</si>
  <si>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</si>
  <si>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</si>
  <si>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</si>
  <si>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</si>
  <si>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</si>
  <si>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</si>
  <si>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</si>
  <si>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</si>
  <si>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</si>
  <si>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</si>
  <si>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</si>
  <si>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</si>
  <si>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</si>
  <si>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</si>
  <si>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</si>
  <si>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</si>
  <si>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</si>
  <si>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</si>
  <si>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</si>
  <si>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</si>
  <si>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</si>
  <si>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</si>
  <si>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</si>
  <si>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</si>
  <si>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</si>
  <si>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</si>
  <si>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</si>
  <si>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</si>
  <si>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</si>
  <si>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</si>
  <si>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</si>
  <si>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</si>
  <si>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</si>
  <si>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</si>
  <si>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</si>
  <si>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</si>
  <si>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</si>
  <si>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</si>
  <si>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</si>
  <si>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</si>
  <si>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</si>
  <si>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</si>
  <si>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</si>
  <si>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</si>
  <si>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</si>
  <si>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</si>
  <si>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</si>
  <si>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</si>
  <si>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</si>
  <si>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</si>
  <si>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</si>
  <si>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</si>
  <si>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</si>
  <si>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</si>
  <si>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</si>
  <si>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</si>
  <si>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</si>
  <si>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</si>
  <si>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</si>
  <si>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</si>
  <si>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</si>
  <si>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</si>
  <si>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</si>
  <si>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</si>
  <si>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</si>
  <si>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</si>
  <si>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</si>
  <si>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</si>
  <si>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</si>
  <si>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</si>
  <si>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</si>
  <si>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</si>
  <si>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</si>
  <si>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</si>
  <si>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</si>
  <si>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</si>
  <si>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</si>
  <si>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</si>
  <si>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</si>
  <si>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</si>
  <si>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</si>
  <si>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</si>
  <si>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</si>
  <si>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</si>
  <si>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</si>
  <si>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</si>
  <si>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</si>
  <si>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</si>
  <si>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</si>
  <si>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</si>
  <si>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</si>
  <si>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</si>
  <si>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</si>
  <si>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</si>
  <si>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</si>
  <si>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</si>
  <si>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</si>
  <si>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</si>
  <si>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</si>
  <si>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</si>
  <si>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</si>
  <si>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</si>
  <si>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</si>
  <si>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</si>
  <si>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</si>
  <si>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</si>
  <si>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</si>
  <si>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</si>
  <si>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</si>
  <si>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</si>
  <si>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</si>
  <si>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</si>
  <si>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</si>
  <si>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</si>
  <si>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</si>
  <si>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</si>
  <si>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</si>
  <si>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</si>
  <si>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</si>
  <si>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</si>
  <si>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</si>
  <si>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</si>
  <si>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</si>
  <si>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</si>
  <si>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</si>
  <si>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</si>
  <si>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</si>
  <si>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</si>
  <si>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</si>
  <si>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</si>
  <si>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</si>
  <si>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</si>
  <si>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</si>
  <si>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</si>
  <si>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</si>
  <si>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</si>
  <si>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</si>
  <si>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</si>
  <si>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</si>
  <si>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</si>
  <si>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</si>
  <si>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</si>
  <si>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</si>
  <si>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</si>
  <si>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</si>
  <si>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</si>
  <si>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</si>
  <si>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</si>
  <si>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</si>
  <si>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</si>
  <si>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</si>
  <si>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</si>
  <si>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</si>
  <si>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</si>
  <si>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</si>
  <si>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</si>
  <si>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</si>
  <si>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</si>
  <si>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</si>
  <si>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</si>
  <si>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</si>
  <si>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</si>
  <si>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</si>
  <si>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</si>
  <si>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</si>
  <si>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</si>
  <si>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</si>
  <si>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</si>
  <si>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</si>
  <si>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</si>
  <si>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</si>
  <si>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</si>
  <si>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</si>
  <si>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</si>
  <si>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</si>
  <si>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</si>
  <si>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</si>
  <si>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</si>
  <si>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</si>
  <si>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</si>
  <si>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</si>
  <si>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</si>
  <si>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</si>
  <si>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</si>
  <si>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</si>
  <si>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</si>
  <si>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</si>
  <si>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</si>
  <si>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</si>
  <si>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</si>
  <si>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</si>
  <si>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</si>
  <si>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</si>
  <si>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</si>
  <si>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</si>
  <si>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</si>
  <si>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</si>
  <si>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</si>
  <si>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</si>
  <si>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</si>
  <si>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</si>
  <si>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</si>
  <si>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</si>
  <si>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</si>
  <si>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</si>
  <si>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</si>
  <si>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</si>
  <si>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</si>
  <si>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</si>
  <si>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</si>
  <si>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</si>
  <si>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</si>
  <si>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</si>
  <si>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</si>
  <si>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</si>
  <si>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</si>
  <si>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</si>
  <si>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</si>
  <si>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</si>
  <si>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</si>
  <si>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</si>
  <si>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</si>
  <si>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</si>
  <si>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</si>
  <si>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</si>
  <si>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</si>
  <si>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</si>
  <si>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</si>
  <si>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</si>
  <si>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</si>
  <si>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</si>
  <si>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</si>
  <si>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</si>
  <si>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</si>
  <si>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</si>
  <si>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</si>
  <si>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</si>
  <si>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</si>
  <si>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</si>
  <si>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</si>
  <si>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</si>
  <si>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</si>
  <si>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</si>
  <si>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</si>
  <si>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</si>
  <si>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</si>
  <si>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</si>
  <si>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</si>
  <si>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</si>
  <si>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</si>
  <si>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</si>
  <si>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</si>
  <si>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</si>
  <si>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</si>
  <si>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</si>
  <si>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</si>
  <si>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</si>
  <si>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</si>
  <si>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</si>
  <si>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</si>
  <si>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</si>
  <si>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</si>
  <si>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</si>
  <si>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</si>
  <si>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</si>
  <si>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</si>
  <si>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</si>
  <si>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</si>
  <si>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</si>
  <si>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</si>
  <si>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</si>
  <si>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</si>
  <si>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</si>
  <si>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</si>
  <si>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</si>
  <si>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</si>
  <si>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</si>
  <si>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</si>
  <si>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</si>
  <si>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</si>
  <si>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</si>
  <si>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</si>
  <si>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</si>
  <si>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</si>
  <si>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</si>
  <si>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</si>
  <si>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</si>
  <si>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</si>
  <si>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</si>
  <si>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</si>
  <si>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</si>
  <si>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</si>
  <si>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</si>
  <si>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</si>
  <si>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</si>
  <si>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</si>
  <si>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</si>
  <si>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</si>
  <si>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</si>
  <si>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</si>
  <si>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</si>
  <si>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</si>
  <si>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</si>
  <si>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</si>
  <si>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</si>
  <si>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</si>
  <si>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</si>
  <si>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</si>
  <si>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</si>
  <si>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</si>
  <si>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</si>
  <si>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</si>
  <si>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</si>
  <si>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</si>
  <si>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</si>
  <si>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</si>
  <si>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</si>
  <si>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</si>
  <si>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</si>
  <si>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</si>
  <si>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</si>
  <si>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</si>
  <si>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</si>
  <si>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</si>
  <si>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</si>
  <si>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</si>
  <si>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</si>
  <si>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</si>
  <si>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</si>
  <si>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</si>
  <si>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</si>
  <si>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</si>
  <si>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</si>
  <si>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</si>
  <si>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</si>
  <si>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</si>
  <si>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</si>
  <si>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</si>
  <si>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</si>
  <si>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</si>
  <si>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</si>
  <si>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</si>
  <si>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</si>
  <si>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</si>
  <si>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</si>
  <si>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</si>
  <si>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</si>
  <si>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</si>
  <si>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</si>
  <si>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</si>
  <si>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</si>
  <si>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</si>
  <si>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</si>
  <si>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</si>
  <si>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</si>
  <si>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</si>
  <si>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</si>
  <si>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</si>
  <si>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</si>
  <si>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</si>
  <si>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</si>
  <si>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</si>
  <si>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</si>
  <si>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</si>
  <si>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</si>
  <si>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</si>
  <si>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</si>
  <si>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</si>
  <si>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</si>
  <si>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</si>
  <si>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</si>
  <si>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</si>
  <si>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</si>
  <si>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</si>
  <si>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</si>
  <si>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</si>
  <si>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</si>
  <si>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</si>
  <si>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</si>
  <si>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</si>
  <si>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</si>
  <si>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</si>
  <si>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</si>
  <si>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</si>
  <si>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</si>
  <si>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</si>
  <si>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</si>
  <si>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</si>
  <si>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</si>
  <si>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</si>
  <si>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</si>
  <si>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</si>
  <si>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</si>
  <si>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</si>
  <si>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</si>
  <si>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</si>
  <si>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</si>
  <si>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</si>
  <si>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</si>
  <si>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</si>
  <si>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</si>
  <si>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</si>
  <si>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</si>
  <si>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</si>
  <si>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</si>
  <si>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</si>
  <si>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</si>
  <si>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</si>
  <si>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</si>
  <si>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</si>
  <si>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</si>
  <si>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</si>
  <si>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</si>
  <si>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</si>
  <si>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</si>
  <si>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</si>
  <si>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</si>
  <si>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</si>
  <si>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</si>
  <si>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</si>
  <si>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</si>
  <si>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</si>
  <si>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</si>
  <si>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</si>
  <si>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</si>
  <si>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</si>
  <si>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</si>
  <si>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</si>
  <si>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</si>
  <si>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</si>
  <si>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</si>
  <si>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</si>
  <si>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</si>
  <si>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</si>
  <si>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</si>
  <si>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</si>
  <si>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</si>
  <si>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</si>
  <si>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</si>
  <si>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</si>
  <si>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</si>
  <si>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</si>
  <si>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</si>
  <si>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</si>
  <si>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</si>
  <si>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</si>
  <si>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</si>
  <si>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</si>
  <si>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</si>
  <si>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</si>
  <si>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</si>
  <si>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</si>
  <si>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</si>
  <si>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</si>
  <si>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</si>
  <si>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</si>
  <si>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</si>
  <si>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</si>
  <si>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</si>
  <si>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</si>
  <si>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</si>
  <si>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</si>
  <si>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</si>
  <si>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</si>
  <si>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</si>
  <si>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</si>
  <si>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</si>
  <si>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</si>
  <si>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</si>
  <si>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</si>
  <si>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</si>
  <si>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</si>
  <si>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</si>
  <si>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</si>
  <si>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</si>
  <si>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</si>
  <si>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</si>
  <si>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</si>
  <si>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</si>
  <si>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</si>
  <si>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</si>
  <si>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</si>
  <si>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</si>
  <si>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</si>
  <si>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</si>
  <si>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</si>
  <si>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</si>
  <si>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</si>
  <si>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</si>
  <si>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</si>
  <si>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</si>
  <si>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</si>
  <si>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</si>
  <si>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</si>
  <si>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</si>
  <si>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</si>
  <si>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</si>
  <si>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</si>
  <si>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</si>
  <si>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</si>
  <si>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</si>
  <si>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</si>
  <si>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</si>
  <si>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</si>
  <si>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</si>
  <si>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</si>
  <si>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</si>
  <si>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</si>
  <si>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</si>
  <si>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</si>
  <si>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</si>
  <si>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</si>
  <si>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</si>
  <si>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</si>
  <si>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</si>
  <si>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</si>
  <si>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</si>
  <si>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</si>
  <si>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</si>
  <si>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</si>
  <si>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</si>
  <si>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</si>
  <si>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</si>
  <si>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</si>
  <si>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</si>
  <si>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</si>
  <si>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</si>
  <si>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</si>
  <si>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</si>
  <si>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</si>
  <si>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</si>
  <si>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</si>
  <si>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</si>
  <si>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</si>
  <si>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</si>
  <si>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</si>
  <si>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</si>
  <si>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</si>
  <si>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</si>
  <si>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</si>
  <si>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</si>
  <si>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</si>
  <si>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</si>
  <si>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</si>
  <si>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</si>
  <si>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</si>
  <si>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</si>
  <si>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</si>
  <si>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</si>
  <si>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</si>
  <si>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</si>
  <si>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</si>
  <si>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</si>
  <si>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</si>
  <si>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</si>
  <si>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</si>
  <si>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</si>
  <si>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</si>
  <si>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</si>
  <si>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</si>
  <si>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</si>
  <si>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</si>
  <si>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</si>
  <si>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</si>
  <si>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</si>
  <si>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</si>
  <si>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</si>
  <si>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</si>
  <si>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</si>
  <si>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</si>
  <si>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</si>
  <si>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</si>
  <si>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</si>
  <si>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</si>
  <si>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</si>
  <si>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</si>
  <si>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</si>
  <si>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</si>
  <si>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</si>
  <si>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</si>
  <si>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</si>
  <si>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</si>
  <si>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</si>
  <si>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</si>
  <si>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</si>
  <si>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</si>
  <si>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</si>
  <si>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</si>
  <si>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</si>
  <si>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</si>
  <si>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</si>
  <si>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</si>
  <si>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</si>
  <si>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</si>
  <si>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</si>
  <si>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</si>
  <si>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</si>
  <si>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</si>
  <si>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</si>
  <si>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</si>
  <si>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</si>
  <si>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</si>
  <si>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</si>
  <si>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</si>
  <si>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</si>
  <si>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</si>
  <si>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</si>
  <si>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</si>
  <si>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</si>
  <si>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</si>
  <si>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</si>
  <si>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</si>
  <si>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</si>
  <si>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</si>
  <si>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</si>
  <si>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</si>
  <si>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</si>
  <si>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</si>
  <si>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</si>
  <si>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</si>
  <si>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</si>
  <si>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</si>
  <si>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</si>
  <si>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</si>
  <si>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</si>
  <si>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</si>
  <si>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</si>
  <si>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</si>
  <si>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</si>
  <si>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</si>
  <si>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</si>
  <si>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</si>
  <si>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</si>
  <si>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</si>
  <si>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</si>
  <si>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</si>
  <si>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</si>
  <si>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</si>
  <si>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</si>
  <si>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</si>
  <si>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</si>
  <si>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</si>
  <si>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</si>
  <si>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</si>
  <si>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</si>
  <si>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</si>
  <si>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</si>
  <si>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</si>
  <si>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</si>
  <si>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</si>
  <si>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</si>
  <si>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</si>
  <si>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</si>
  <si>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</si>
  <si>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</si>
  <si>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</si>
  <si>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</si>
  <si>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</si>
  <si>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</si>
  <si>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</si>
  <si>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</si>
  <si>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</si>
  <si>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</si>
  <si>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</si>
  <si>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</si>
  <si>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</si>
  <si>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</si>
  <si>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</si>
  <si>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</si>
  <si>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</si>
  <si>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</si>
  <si>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White Mountains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</si>
</sst>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568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1355259.54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159.4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216332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245806.96</v>
      </c>
      <c r="G13" s="18">
        <v>24338.1</v>
      </c>
      <c r="H13" s="18">
        <v>444507.63</v>
      </c>
      <c r="I13" s="18"/>
      <c r="J13" s="67">
        <f>SUM(I442)</f>
        <v>998951.35000000009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2878.17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28081.8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1848517.8699999999</v>
      </c>
      <c r="G19" s="41">
        <f>SUM(G9:G18)</f>
        <v>24338.1</v>
      </c>
      <c r="H19" s="41">
        <f>SUM(H9:H18)</f>
        <v>444507.63</v>
      </c>
      <c r="I19" s="41">
        <f>SUM(I9:I18)</f>
        <v>0</v>
      </c>
      <c r="J19" s="41">
        <f>SUM(J9:J18)</f>
        <v>998951.35000000009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-434489.76</v>
      </c>
      <c r="G22" s="18">
        <v>24338.1</v>
      </c>
      <c r="H22" s="18">
        <v>410151.66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242457.67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23228.16</v>
      </c>
      <c r="G24" s="18"/>
      <c r="H24" s="18">
        <v>30.34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1165320.04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2742.05</v>
      </c>
      <c r="G29" s="18"/>
      <c r="H29" s="18">
        <v>134.46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14495.72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999258.16000000015</v>
      </c>
      <c r="G32" s="41">
        <f>SUM(G22:G31)</f>
        <v>24338.1</v>
      </c>
      <c r="H32" s="41">
        <f>SUM(H22:H31)</f>
        <v>424812.18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185000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19695.45</v>
      </c>
      <c r="I48" s="18"/>
      <c r="J48" s="13">
        <f>SUM(I459)</f>
        <v>998951.35000000009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60266.25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603993.46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849259.71</v>
      </c>
      <c r="G51" s="41">
        <f>SUM(G35:G50)</f>
        <v>0</v>
      </c>
      <c r="H51" s="41">
        <f>SUM(H35:H50)</f>
        <v>19695.45</v>
      </c>
      <c r="I51" s="41">
        <f>SUM(I35:I50)</f>
        <v>0</v>
      </c>
      <c r="J51" s="41">
        <f>SUM(J35:J50)</f>
        <v>998951.35000000009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1848517.87</v>
      </c>
      <c r="G52" s="41">
        <f>G51+G32</f>
        <v>24338.1</v>
      </c>
      <c r="H52" s="41">
        <f>H51+H32</f>
        <v>444507.63</v>
      </c>
      <c r="I52" s="41">
        <f>I51+I32</f>
        <v>0</v>
      </c>
      <c r="J52" s="41">
        <f>J51+J32</f>
        <v>998951.35000000009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9832153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9832153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22188.78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61945.95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79362.880000000005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318213.03000000003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94295.08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576005.72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3275.91</v>
      </c>
      <c r="G96" s="18"/>
      <c r="H96" s="18"/>
      <c r="I96" s="18"/>
      <c r="J96" s="18">
        <v>32410.19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174809.46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4252.8</v>
      </c>
      <c r="G98" s="24" t="s">
        <v>289</v>
      </c>
      <c r="H98" s="18">
        <v>17164.560000000001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2068.4299999999998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7573.36</v>
      </c>
      <c r="G110" s="18"/>
      <c r="H110" s="18">
        <v>77468.63</v>
      </c>
      <c r="I110" s="18"/>
      <c r="J110" s="18">
        <v>5686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17170.5</v>
      </c>
      <c r="G111" s="41">
        <f>SUM(G96:G110)</f>
        <v>174809.46</v>
      </c>
      <c r="H111" s="41">
        <f>SUM(H96:H110)</f>
        <v>94633.19</v>
      </c>
      <c r="I111" s="41">
        <f>SUM(I96:I110)</f>
        <v>0</v>
      </c>
      <c r="J111" s="41">
        <f>SUM(J96:J110)</f>
        <v>38096.19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10425329.220000001</v>
      </c>
      <c r="G112" s="41">
        <f>G60+G111</f>
        <v>174809.46</v>
      </c>
      <c r="H112" s="41">
        <f>H60+H79+H94+H111</f>
        <v>94633.19</v>
      </c>
      <c r="I112" s="41">
        <f>I60+I111</f>
        <v>0</v>
      </c>
      <c r="J112" s="41">
        <f>J60+J111</f>
        <v>38096.19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6740208.4400000004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2191210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8931418.4400000013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29820.18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99760.67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8884.4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6437.3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138465.25</v>
      </c>
      <c r="G136" s="41">
        <f>SUM(G123:G135)</f>
        <v>6437.3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9069883.6900000013</v>
      </c>
      <c r="G140" s="41">
        <f>G121+SUM(G136:G137)</f>
        <v>6437.3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497745.66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64426.12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63137.48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335809.45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257754.86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93432.42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35593.279999999999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93432.42</v>
      </c>
      <c r="G162" s="41">
        <f>SUM(G150:G161)</f>
        <v>335809.45</v>
      </c>
      <c r="H162" s="41">
        <f>SUM(H150:H161)</f>
        <v>918657.4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31030.2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124462.62</v>
      </c>
      <c r="G169" s="41">
        <f>G147+G162+SUM(G163:G168)</f>
        <v>335809.45</v>
      </c>
      <c r="H169" s="41">
        <f>H147+H162+SUM(H163:H168)</f>
        <v>918657.4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37444.74</v>
      </c>
      <c r="H179" s="18"/>
      <c r="I179" s="18"/>
      <c r="J179" s="18">
        <v>90371.5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55527.16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55527.16</v>
      </c>
      <c r="G183" s="41">
        <f>SUM(G179:G182)</f>
        <v>37444.74</v>
      </c>
      <c r="H183" s="41">
        <f>SUM(H179:H182)</f>
        <v>0</v>
      </c>
      <c r="I183" s="41">
        <f>SUM(I179:I182)</f>
        <v>0</v>
      </c>
      <c r="J183" s="41">
        <f>SUM(J179:J182)</f>
        <v>90371.5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55527.16</v>
      </c>
      <c r="G192" s="41">
        <f>G183+SUM(G188:G191)</f>
        <v>37444.74</v>
      </c>
      <c r="H192" s="41">
        <f>+H183+SUM(H188:H191)</f>
        <v>0</v>
      </c>
      <c r="I192" s="41">
        <f>I177+I183+SUM(I188:I191)</f>
        <v>0</v>
      </c>
      <c r="J192" s="41">
        <f>J183</f>
        <v>90371.5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19675202.690000005</v>
      </c>
      <c r="G193" s="47">
        <f>G112+G140+G169+G192</f>
        <v>554500.94999999995</v>
      </c>
      <c r="H193" s="47">
        <f>H112+H140+H169+H192</f>
        <v>1013290.5900000001</v>
      </c>
      <c r="I193" s="47">
        <f>I112+I140+I169+I192</f>
        <v>0</v>
      </c>
      <c r="J193" s="47">
        <f>J112+J140+J192</f>
        <v>128467.69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2904111.63</v>
      </c>
      <c r="G197" s="18">
        <v>1662076.56</v>
      </c>
      <c r="H197" s="18">
        <v>111857.8</v>
      </c>
      <c r="I197" s="18">
        <v>141090.46</v>
      </c>
      <c r="J197" s="18">
        <v>166139.38</v>
      </c>
      <c r="K197" s="18">
        <v>33132.800000000003</v>
      </c>
      <c r="L197" s="19">
        <f>SUM(F197:K197)</f>
        <v>5018408.629999999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936247.04</v>
      </c>
      <c r="G198" s="18">
        <v>579953.41</v>
      </c>
      <c r="H198" s="18">
        <v>82290.67</v>
      </c>
      <c r="I198" s="18">
        <v>7998.12</v>
      </c>
      <c r="J198" s="18">
        <v>0</v>
      </c>
      <c r="K198" s="18">
        <v>49</v>
      </c>
      <c r="L198" s="19">
        <f>SUM(F198:K198)</f>
        <v>1606538.2400000002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71223.5</v>
      </c>
      <c r="G200" s="18">
        <v>11485.68</v>
      </c>
      <c r="H200" s="18">
        <v>11976.86</v>
      </c>
      <c r="I200" s="18">
        <v>4456.9399999999996</v>
      </c>
      <c r="J200" s="18">
        <v>1890.33</v>
      </c>
      <c r="K200" s="18">
        <v>13150.19</v>
      </c>
      <c r="L200" s="19">
        <f>SUM(F200:K200)</f>
        <v>114183.5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608474.64</v>
      </c>
      <c r="G202" s="18">
        <v>322421.53000000003</v>
      </c>
      <c r="H202" s="18">
        <v>5655.99</v>
      </c>
      <c r="I202" s="18">
        <v>8188.93</v>
      </c>
      <c r="J202" s="18">
        <v>444.99</v>
      </c>
      <c r="K202" s="18">
        <v>338</v>
      </c>
      <c r="L202" s="19">
        <f t="shared" ref="L202:L208" si="0">SUM(F202:K202)</f>
        <v>945524.08000000007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127143.74</v>
      </c>
      <c r="G203" s="18">
        <v>99908.14</v>
      </c>
      <c r="H203" s="18">
        <v>39323.230000000003</v>
      </c>
      <c r="I203" s="18">
        <v>16254.05</v>
      </c>
      <c r="J203" s="18">
        <v>0</v>
      </c>
      <c r="K203" s="18">
        <v>2379.84</v>
      </c>
      <c r="L203" s="19">
        <f t="shared" si="0"/>
        <v>285009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373641.03</v>
      </c>
      <c r="G204" s="18">
        <v>156602.62</v>
      </c>
      <c r="H204" s="18">
        <v>98928.43</v>
      </c>
      <c r="I204" s="18">
        <v>98907.97</v>
      </c>
      <c r="J204" s="18">
        <v>21348.06</v>
      </c>
      <c r="K204" s="18">
        <v>37018.089999999997</v>
      </c>
      <c r="L204" s="19">
        <f t="shared" si="0"/>
        <v>786446.20000000007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582473.88</v>
      </c>
      <c r="G205" s="18">
        <v>316860.26</v>
      </c>
      <c r="H205" s="18">
        <v>57696.74</v>
      </c>
      <c r="I205" s="18">
        <v>5113.03</v>
      </c>
      <c r="J205" s="18">
        <v>3685.03</v>
      </c>
      <c r="K205" s="18">
        <v>16686.12</v>
      </c>
      <c r="L205" s="19">
        <f t="shared" si="0"/>
        <v>982515.06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101376.25</v>
      </c>
      <c r="G206" s="18">
        <v>57317.05</v>
      </c>
      <c r="H206" s="18">
        <v>2922.98</v>
      </c>
      <c r="I206" s="18">
        <v>0</v>
      </c>
      <c r="J206" s="18">
        <v>0</v>
      </c>
      <c r="K206" s="18"/>
      <c r="L206" s="19">
        <f t="shared" si="0"/>
        <v>161616.28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389016.26</v>
      </c>
      <c r="G207" s="18">
        <v>216243.59</v>
      </c>
      <c r="H207" s="18">
        <v>258391.5</v>
      </c>
      <c r="I207" s="18">
        <v>245502.12</v>
      </c>
      <c r="J207" s="18">
        <v>9941.2099999999991</v>
      </c>
      <c r="K207" s="18"/>
      <c r="L207" s="19">
        <f t="shared" si="0"/>
        <v>1119094.68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17918.8</v>
      </c>
      <c r="G208" s="18">
        <v>7632.85</v>
      </c>
      <c r="H208" s="18">
        <v>649298.35</v>
      </c>
      <c r="I208" s="18">
        <v>2225.34</v>
      </c>
      <c r="J208" s="18">
        <v>0</v>
      </c>
      <c r="K208" s="18">
        <v>388.37</v>
      </c>
      <c r="L208" s="19">
        <f t="shared" si="0"/>
        <v>677463.71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/>
      <c r="H209" s="18">
        <v>134</v>
      </c>
      <c r="I209" s="18"/>
      <c r="J209" s="18"/>
      <c r="K209" s="18"/>
      <c r="L209" s="19">
        <f>SUM(F209:K209)</f>
        <v>134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6111626.7699999996</v>
      </c>
      <c r="G211" s="41">
        <f t="shared" si="1"/>
        <v>3430501.6900000009</v>
      </c>
      <c r="H211" s="41">
        <f t="shared" si="1"/>
        <v>1318476.5499999998</v>
      </c>
      <c r="I211" s="41">
        <f t="shared" si="1"/>
        <v>529736.95999999996</v>
      </c>
      <c r="J211" s="41">
        <f t="shared" si="1"/>
        <v>203448.99999999997</v>
      </c>
      <c r="K211" s="41">
        <f t="shared" si="1"/>
        <v>103142.40999999999</v>
      </c>
      <c r="L211" s="41">
        <f t="shared" si="1"/>
        <v>11696933.379999999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1354418.91</v>
      </c>
      <c r="G233" s="18">
        <v>699771.5</v>
      </c>
      <c r="H233" s="18">
        <v>41149</v>
      </c>
      <c r="I233" s="18">
        <v>21147.7</v>
      </c>
      <c r="J233" s="18">
        <v>24207.79</v>
      </c>
      <c r="K233" s="18">
        <v>17930.419999999998</v>
      </c>
      <c r="L233" s="19">
        <f>SUM(F233:K233)</f>
        <v>2158625.3199999998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352783.75</v>
      </c>
      <c r="G234" s="18">
        <v>214203.21</v>
      </c>
      <c r="H234" s="18">
        <v>133028.97</v>
      </c>
      <c r="I234" s="18">
        <v>1477.85</v>
      </c>
      <c r="J234" s="18">
        <v>268.82</v>
      </c>
      <c r="K234" s="18">
        <v>0</v>
      </c>
      <c r="L234" s="19">
        <f>SUM(F234:K234)</f>
        <v>701762.59999999986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318096.02</v>
      </c>
      <c r="G235" s="18">
        <v>158664.49</v>
      </c>
      <c r="H235" s="18">
        <v>7174.06</v>
      </c>
      <c r="I235" s="18">
        <v>51135.3</v>
      </c>
      <c r="J235" s="18">
        <v>14539.17</v>
      </c>
      <c r="K235" s="18">
        <v>1588.17</v>
      </c>
      <c r="L235" s="19">
        <f>SUM(F235:K235)</f>
        <v>551197.21000000008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137435.75</v>
      </c>
      <c r="G236" s="18">
        <v>20308.14</v>
      </c>
      <c r="H236" s="18">
        <v>13788.75</v>
      </c>
      <c r="I236" s="18">
        <v>19022.34</v>
      </c>
      <c r="J236" s="18">
        <v>7459.72</v>
      </c>
      <c r="K236" s="18">
        <v>16278.51</v>
      </c>
      <c r="L236" s="19">
        <f>SUM(F236:K236)</f>
        <v>214293.21000000002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314817.21999999997</v>
      </c>
      <c r="G238" s="18">
        <v>184261.52</v>
      </c>
      <c r="H238" s="18">
        <v>16132.45</v>
      </c>
      <c r="I238" s="18">
        <v>2314.52</v>
      </c>
      <c r="J238" s="18">
        <v>0</v>
      </c>
      <c r="K238" s="18">
        <v>222.82</v>
      </c>
      <c r="L238" s="19">
        <f t="shared" ref="L238:L244" si="4">SUM(F238:K238)</f>
        <v>517748.53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46997.62</v>
      </c>
      <c r="G239" s="18">
        <v>61095.68</v>
      </c>
      <c r="H239" s="18">
        <v>37118.79</v>
      </c>
      <c r="I239" s="18">
        <v>11642.68</v>
      </c>
      <c r="J239" s="18">
        <v>10514.72</v>
      </c>
      <c r="K239" s="18">
        <v>6172.16</v>
      </c>
      <c r="L239" s="19">
        <f t="shared" si="4"/>
        <v>173541.65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289038.96999999997</v>
      </c>
      <c r="G240" s="18">
        <v>112162.57</v>
      </c>
      <c r="H240" s="18">
        <v>99487.84</v>
      </c>
      <c r="I240" s="18">
        <v>49055.13</v>
      </c>
      <c r="J240" s="18">
        <v>6701.65</v>
      </c>
      <c r="K240" s="18">
        <v>20091.72</v>
      </c>
      <c r="L240" s="19">
        <f t="shared" si="4"/>
        <v>576537.88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224779.24</v>
      </c>
      <c r="G241" s="18">
        <v>141610.29999999999</v>
      </c>
      <c r="H241" s="18">
        <v>43128.25</v>
      </c>
      <c r="I241" s="18">
        <v>7892.23</v>
      </c>
      <c r="J241" s="18">
        <v>0</v>
      </c>
      <c r="K241" s="18">
        <v>24653.75</v>
      </c>
      <c r="L241" s="19">
        <f t="shared" si="4"/>
        <v>442063.76999999996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49931.58</v>
      </c>
      <c r="G242" s="18">
        <v>28230.79</v>
      </c>
      <c r="H242" s="18">
        <v>1439.68</v>
      </c>
      <c r="I242" s="18">
        <v>0</v>
      </c>
      <c r="J242" s="18">
        <v>7643.67</v>
      </c>
      <c r="K242" s="18">
        <v>0</v>
      </c>
      <c r="L242" s="19">
        <f t="shared" si="4"/>
        <v>87245.719999999987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219730.5</v>
      </c>
      <c r="G243" s="18">
        <v>89265.279999999999</v>
      </c>
      <c r="H243" s="18">
        <v>1181430.81</v>
      </c>
      <c r="I243" s="18">
        <v>222833.19</v>
      </c>
      <c r="J243" s="18"/>
      <c r="K243" s="18">
        <v>3709</v>
      </c>
      <c r="L243" s="19">
        <f t="shared" si="4"/>
        <v>1716968.78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9479.2099999999991</v>
      </c>
      <c r="G244" s="18">
        <v>3809.46</v>
      </c>
      <c r="H244" s="18">
        <v>427027.05</v>
      </c>
      <c r="I244" s="18">
        <v>1072.94</v>
      </c>
      <c r="J244" s="18"/>
      <c r="K244" s="18">
        <v>191.29</v>
      </c>
      <c r="L244" s="19">
        <f t="shared" si="4"/>
        <v>441579.94999999995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66</v>
      </c>
      <c r="I245" s="18">
        <v>0</v>
      </c>
      <c r="J245" s="18"/>
      <c r="K245" s="18"/>
      <c r="L245" s="19">
        <f>SUM(F245:K245)</f>
        <v>66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3317508.7699999996</v>
      </c>
      <c r="G247" s="41">
        <f t="shared" si="5"/>
        <v>1713382.94</v>
      </c>
      <c r="H247" s="41">
        <f t="shared" si="5"/>
        <v>2000971.6500000001</v>
      </c>
      <c r="I247" s="41">
        <f t="shared" si="5"/>
        <v>387593.88000000006</v>
      </c>
      <c r="J247" s="41">
        <f t="shared" si="5"/>
        <v>71335.540000000008</v>
      </c>
      <c r="K247" s="41">
        <f t="shared" si="5"/>
        <v>90837.84</v>
      </c>
      <c r="L247" s="41">
        <f t="shared" si="5"/>
        <v>7581630.6200000001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4516.7299999999996</v>
      </c>
      <c r="I255" s="18"/>
      <c r="J255" s="18"/>
      <c r="K255" s="18"/>
      <c r="L255" s="19">
        <f t="shared" si="6"/>
        <v>4516.7299999999996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4516.7299999999996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4516.7299999999996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9429135.5399999991</v>
      </c>
      <c r="G257" s="41">
        <f t="shared" si="8"/>
        <v>5143884.6300000008</v>
      </c>
      <c r="H257" s="41">
        <f t="shared" si="8"/>
        <v>3323964.93</v>
      </c>
      <c r="I257" s="41">
        <f t="shared" si="8"/>
        <v>917330.84000000008</v>
      </c>
      <c r="J257" s="41">
        <f t="shared" si="8"/>
        <v>274784.53999999998</v>
      </c>
      <c r="K257" s="41">
        <f t="shared" si="8"/>
        <v>193980.25</v>
      </c>
      <c r="L257" s="41">
        <f t="shared" si="8"/>
        <v>19283080.73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37444.74</v>
      </c>
      <c r="L263" s="19">
        <f>SUM(F263:K263)</f>
        <v>37444.74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 t="s">
        <v>287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90371.5</v>
      </c>
      <c r="L266" s="19">
        <f t="shared" si="9"/>
        <v>90371.5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41363.599999999999</v>
      </c>
      <c r="L268" s="19">
        <f t="shared" si="9"/>
        <v>41363.599999999999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169179.84</v>
      </c>
      <c r="L270" s="41">
        <f t="shared" si="9"/>
        <v>169179.84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9429135.5399999991</v>
      </c>
      <c r="G271" s="42">
        <f t="shared" si="11"/>
        <v>5143884.6300000008</v>
      </c>
      <c r="H271" s="42">
        <f t="shared" si="11"/>
        <v>3323964.93</v>
      </c>
      <c r="I271" s="42">
        <f t="shared" si="11"/>
        <v>917330.84000000008</v>
      </c>
      <c r="J271" s="42">
        <f t="shared" si="11"/>
        <v>274784.53999999998</v>
      </c>
      <c r="K271" s="42">
        <f t="shared" si="11"/>
        <v>363160.08999999997</v>
      </c>
      <c r="L271" s="42">
        <f t="shared" si="11"/>
        <v>19452260.57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283386.83</v>
      </c>
      <c r="G276" s="18">
        <v>160183.84</v>
      </c>
      <c r="H276" s="18"/>
      <c r="I276" s="18">
        <v>41591.300000000003</v>
      </c>
      <c r="J276" s="18">
        <v>6355.61</v>
      </c>
      <c r="K276" s="18"/>
      <c r="L276" s="19">
        <f>SUM(F276:K276)</f>
        <v>491517.58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3763.39</v>
      </c>
      <c r="I277" s="18">
        <v>10026.06</v>
      </c>
      <c r="J277" s="18">
        <v>267.95</v>
      </c>
      <c r="K277" s="18"/>
      <c r="L277" s="19">
        <f>SUM(F277:K277)</f>
        <v>14057.4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696.7</v>
      </c>
      <c r="G279" s="18">
        <v>29.51</v>
      </c>
      <c r="H279" s="18">
        <v>18329.849999999999</v>
      </c>
      <c r="I279" s="18"/>
      <c r="J279" s="18"/>
      <c r="K279" s="18">
        <v>180</v>
      </c>
      <c r="L279" s="19">
        <f>SUM(F279:K279)</f>
        <v>19236.059999999998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59174.2</v>
      </c>
      <c r="G281" s="18">
        <v>28266.63</v>
      </c>
      <c r="H281" s="18">
        <v>52294.09</v>
      </c>
      <c r="I281" s="18">
        <v>6146.33</v>
      </c>
      <c r="J281" s="18">
        <v>1679.39</v>
      </c>
      <c r="K281" s="18"/>
      <c r="L281" s="19">
        <f t="shared" ref="L281:L287" si="12">SUM(F281:K281)</f>
        <v>147560.63999999998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26827.96</v>
      </c>
      <c r="I282" s="18">
        <v>2917.15</v>
      </c>
      <c r="J282" s="18"/>
      <c r="K282" s="18"/>
      <c r="L282" s="19">
        <f t="shared" si="12"/>
        <v>29745.11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3517.12</v>
      </c>
      <c r="G283" s="18">
        <v>1037.17</v>
      </c>
      <c r="H283" s="18"/>
      <c r="I283" s="18"/>
      <c r="J283" s="18"/>
      <c r="K283" s="18"/>
      <c r="L283" s="19">
        <f t="shared" si="12"/>
        <v>4554.29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200</v>
      </c>
      <c r="G288" s="18">
        <v>15.3</v>
      </c>
      <c r="H288" s="18">
        <v>16050</v>
      </c>
      <c r="I288" s="18">
        <v>424.83</v>
      </c>
      <c r="J288" s="18"/>
      <c r="K288" s="18">
        <v>2665</v>
      </c>
      <c r="L288" s="19">
        <f>SUM(F288:K288)</f>
        <v>19355.13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346974.85000000003</v>
      </c>
      <c r="G290" s="42">
        <f t="shared" si="13"/>
        <v>189532.45</v>
      </c>
      <c r="H290" s="42">
        <f t="shared" si="13"/>
        <v>117265.28999999998</v>
      </c>
      <c r="I290" s="42">
        <f t="shared" si="13"/>
        <v>61105.670000000006</v>
      </c>
      <c r="J290" s="42">
        <f t="shared" si="13"/>
        <v>8302.9499999999989</v>
      </c>
      <c r="K290" s="42">
        <f t="shared" si="13"/>
        <v>2845</v>
      </c>
      <c r="L290" s="41">
        <f t="shared" si="13"/>
        <v>726026.21000000008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1315.69</v>
      </c>
      <c r="I315" s="18">
        <v>2709.35</v>
      </c>
      <c r="J315" s="18">
        <v>3392.55</v>
      </c>
      <c r="K315" s="18"/>
      <c r="L315" s="19">
        <f>SUM(F315:K315)</f>
        <v>7417.59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14673</v>
      </c>
      <c r="I316" s="18">
        <v>9141.8799999999992</v>
      </c>
      <c r="J316" s="18">
        <v>84385.23</v>
      </c>
      <c r="K316" s="18"/>
      <c r="L316" s="19">
        <f>SUM(F316:K316)</f>
        <v>108200.10999999999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4500</v>
      </c>
      <c r="G317" s="18">
        <v>971.05</v>
      </c>
      <c r="H317" s="18">
        <v>355.48</v>
      </c>
      <c r="I317" s="18">
        <v>4156.22</v>
      </c>
      <c r="J317" s="18">
        <v>1000</v>
      </c>
      <c r="K317" s="18"/>
      <c r="L317" s="19">
        <f>SUM(F317:K317)</f>
        <v>10982.75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37133.11</v>
      </c>
      <c r="G319" s="18">
        <v>16164.74</v>
      </c>
      <c r="H319" s="18">
        <v>13381.07</v>
      </c>
      <c r="I319" s="18">
        <v>565.73</v>
      </c>
      <c r="J319" s="18"/>
      <c r="K319" s="18">
        <v>3472</v>
      </c>
      <c r="L319" s="19">
        <f t="shared" ref="L319:L325" si="16">SUM(F319:K319)</f>
        <v>70716.649999999994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5239.67</v>
      </c>
      <c r="I320" s="18">
        <v>311.5</v>
      </c>
      <c r="J320" s="18"/>
      <c r="K320" s="18"/>
      <c r="L320" s="19">
        <f t="shared" si="16"/>
        <v>5551.17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>
        <v>471.96</v>
      </c>
      <c r="I323" s="18"/>
      <c r="J323" s="18"/>
      <c r="K323" s="18"/>
      <c r="L323" s="19">
        <f t="shared" si="16"/>
        <v>471.96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v>5610</v>
      </c>
      <c r="I326" s="18"/>
      <c r="J326" s="18"/>
      <c r="K326" s="18"/>
      <c r="L326" s="19">
        <f>SUM(F326:K326)</f>
        <v>5610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41633.11</v>
      </c>
      <c r="G328" s="42">
        <f t="shared" si="17"/>
        <v>17135.79</v>
      </c>
      <c r="H328" s="42">
        <f t="shared" si="17"/>
        <v>41046.869999999995</v>
      </c>
      <c r="I328" s="42">
        <f t="shared" si="17"/>
        <v>16884.68</v>
      </c>
      <c r="J328" s="42">
        <f t="shared" si="17"/>
        <v>88777.78</v>
      </c>
      <c r="K328" s="42">
        <f t="shared" si="17"/>
        <v>3472</v>
      </c>
      <c r="L328" s="41">
        <f t="shared" si="17"/>
        <v>208950.22999999998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>
        <v>7230</v>
      </c>
      <c r="I333" s="18">
        <v>6601.98</v>
      </c>
      <c r="J333" s="18">
        <v>422.98</v>
      </c>
      <c r="K333" s="18"/>
      <c r="L333" s="19">
        <f t="shared" si="18"/>
        <v>14254.96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7230</v>
      </c>
      <c r="I337" s="41">
        <f t="shared" si="19"/>
        <v>6601.98</v>
      </c>
      <c r="J337" s="41">
        <f t="shared" si="19"/>
        <v>422.98</v>
      </c>
      <c r="K337" s="41">
        <f t="shared" si="19"/>
        <v>0</v>
      </c>
      <c r="L337" s="41">
        <f t="shared" si="18"/>
        <v>14254.96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388607.96</v>
      </c>
      <c r="G338" s="41">
        <f t="shared" si="20"/>
        <v>206668.24000000002</v>
      </c>
      <c r="H338" s="41">
        <f t="shared" si="20"/>
        <v>165542.15999999997</v>
      </c>
      <c r="I338" s="41">
        <f t="shared" si="20"/>
        <v>84592.33</v>
      </c>
      <c r="J338" s="41">
        <f t="shared" si="20"/>
        <v>97503.709999999992</v>
      </c>
      <c r="K338" s="41">
        <f t="shared" si="20"/>
        <v>6317</v>
      </c>
      <c r="L338" s="41">
        <f t="shared" si="20"/>
        <v>949231.4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55527.16</v>
      </c>
      <c r="L344" s="19">
        <f t="shared" ref="L344:L350" si="21">SUM(F344:K344)</f>
        <v>55527.16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55527.16</v>
      </c>
      <c r="L351" s="41">
        <f>SUM(L341:L350)</f>
        <v>55527.16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388607.96</v>
      </c>
      <c r="G352" s="41">
        <f>G338</f>
        <v>206668.24000000002</v>
      </c>
      <c r="H352" s="41">
        <f>H338</f>
        <v>165542.15999999997</v>
      </c>
      <c r="I352" s="41">
        <f>I338</f>
        <v>84592.33</v>
      </c>
      <c r="J352" s="41">
        <f>J338</f>
        <v>97503.709999999992</v>
      </c>
      <c r="K352" s="47">
        <f>K338+K351</f>
        <v>61844.160000000003</v>
      </c>
      <c r="L352" s="41">
        <f>L338+L351</f>
        <v>1004758.56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134171.57</v>
      </c>
      <c r="G358" s="18">
        <v>86432.14</v>
      </c>
      <c r="H358" s="18">
        <v>857.47</v>
      </c>
      <c r="I358" s="18">
        <v>152768.92000000001</v>
      </c>
      <c r="J358" s="18">
        <v>50.61</v>
      </c>
      <c r="K358" s="18">
        <v>2877.15</v>
      </c>
      <c r="L358" s="13">
        <f>SUM(F358:K358)</f>
        <v>377157.86000000004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64087.15</v>
      </c>
      <c r="G360" s="18">
        <v>45297.24</v>
      </c>
      <c r="H360" s="18">
        <v>577.36</v>
      </c>
      <c r="I360" s="18">
        <v>80317.440000000002</v>
      </c>
      <c r="J360" s="18">
        <v>205.84</v>
      </c>
      <c r="K360" s="18">
        <v>1780.57</v>
      </c>
      <c r="L360" s="19">
        <f>SUM(F360:K360)</f>
        <v>192265.60000000001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198258.72</v>
      </c>
      <c r="G362" s="47">
        <f t="shared" si="22"/>
        <v>131729.38</v>
      </c>
      <c r="H362" s="47">
        <f t="shared" si="22"/>
        <v>1434.83</v>
      </c>
      <c r="I362" s="47">
        <f t="shared" si="22"/>
        <v>233086.36000000002</v>
      </c>
      <c r="J362" s="47">
        <f t="shared" si="22"/>
        <v>256.45</v>
      </c>
      <c r="K362" s="47">
        <f t="shared" si="22"/>
        <v>4657.72</v>
      </c>
      <c r="L362" s="47">
        <f t="shared" si="22"/>
        <v>569423.46000000008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143983.12</v>
      </c>
      <c r="G367" s="18"/>
      <c r="H367" s="18">
        <v>76081.48</v>
      </c>
      <c r="I367" s="56">
        <f>SUM(F367:H367)</f>
        <v>220064.59999999998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8785.7999999999993</v>
      </c>
      <c r="G368" s="63"/>
      <c r="H368" s="63">
        <v>4235.96</v>
      </c>
      <c r="I368" s="56">
        <f>SUM(F368:H368)</f>
        <v>13021.759999999998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152768.91999999998</v>
      </c>
      <c r="G369" s="47">
        <f>SUM(G367:G368)</f>
        <v>0</v>
      </c>
      <c r="H369" s="47">
        <f>SUM(H367:H368)</f>
        <v>80317.440000000002</v>
      </c>
      <c r="I369" s="47">
        <f>SUM(I367:I368)</f>
        <v>233086.36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 t="s">
        <v>287</v>
      </c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>
        <v>37.590000000000003</v>
      </c>
      <c r="I391" s="18"/>
      <c r="J391" s="24" t="s">
        <v>289</v>
      </c>
      <c r="K391" s="24" t="s">
        <v>289</v>
      </c>
      <c r="L391" s="56">
        <f t="shared" si="25"/>
        <v>37.590000000000003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21455.91</v>
      </c>
      <c r="H392" s="18">
        <v>91.84</v>
      </c>
      <c r="I392" s="18"/>
      <c r="J392" s="24" t="s">
        <v>289</v>
      </c>
      <c r="K392" s="24" t="s">
        <v>289</v>
      </c>
      <c r="L392" s="56">
        <f t="shared" si="25"/>
        <v>21547.75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21455.91</v>
      </c>
      <c r="H393" s="139">
        <f>SUM(H387:H392)</f>
        <v>129.43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21585.34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68915.59</v>
      </c>
      <c r="H396" s="18">
        <v>340.34</v>
      </c>
      <c r="I396" s="18"/>
      <c r="J396" s="24" t="s">
        <v>289</v>
      </c>
      <c r="K396" s="24" t="s">
        <v>289</v>
      </c>
      <c r="L396" s="56">
        <f t="shared" si="26"/>
        <v>69255.929999999993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31940.42</v>
      </c>
      <c r="I400" s="18">
        <v>5686</v>
      </c>
      <c r="J400" s="24" t="s">
        <v>289</v>
      </c>
      <c r="K400" s="24" t="s">
        <v>289</v>
      </c>
      <c r="L400" s="56">
        <f t="shared" si="26"/>
        <v>37626.42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68915.59</v>
      </c>
      <c r="H401" s="47">
        <f>SUM(H395:H400)</f>
        <v>32280.76</v>
      </c>
      <c r="I401" s="47">
        <f>SUM(I395:I400)</f>
        <v>5686</v>
      </c>
      <c r="J401" s="45" t="s">
        <v>289</v>
      </c>
      <c r="K401" s="45" t="s">
        <v>289</v>
      </c>
      <c r="L401" s="47">
        <f>SUM(L395:L400)</f>
        <v>106882.34999999999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90371.5</v>
      </c>
      <c r="H408" s="47">
        <f>H393+H401+H407</f>
        <v>32410.19</v>
      </c>
      <c r="I408" s="47">
        <f>I393+I401+I407</f>
        <v>5686</v>
      </c>
      <c r="J408" s="24" t="s">
        <v>289</v>
      </c>
      <c r="K408" s="24" t="s">
        <v>289</v>
      </c>
      <c r="L408" s="47">
        <f>L393+L401+L407</f>
        <v>128467.68999999999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9000</v>
      </c>
      <c r="I418" s="18"/>
      <c r="J418" s="18"/>
      <c r="K418" s="18"/>
      <c r="L418" s="56">
        <f t="shared" si="27"/>
        <v>9000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9000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9000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18726</v>
      </c>
      <c r="I426" s="18"/>
      <c r="J426" s="18"/>
      <c r="K426" s="18"/>
      <c r="L426" s="56">
        <f t="shared" si="29"/>
        <v>18726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18726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18726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27726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27726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290291.42</v>
      </c>
      <c r="G442" s="18">
        <v>708659.93</v>
      </c>
      <c r="H442" s="18"/>
      <c r="I442" s="56">
        <f t="shared" si="33"/>
        <v>998951.35000000009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290291.42</v>
      </c>
      <c r="G446" s="13">
        <f>SUM(G439:G445)</f>
        <v>708659.93</v>
      </c>
      <c r="H446" s="13">
        <f>SUM(H439:H445)</f>
        <v>0</v>
      </c>
      <c r="I446" s="13">
        <f>SUM(I439:I445)</f>
        <v>998951.35000000009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290291.42</v>
      </c>
      <c r="G459" s="18">
        <v>708659.93</v>
      </c>
      <c r="H459" s="18"/>
      <c r="I459" s="56">
        <f t="shared" si="34"/>
        <v>998951.35000000009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290291.42</v>
      </c>
      <c r="G460" s="83">
        <f>SUM(G454:G459)</f>
        <v>708659.93</v>
      </c>
      <c r="H460" s="83">
        <f>SUM(H454:H459)</f>
        <v>0</v>
      </c>
      <c r="I460" s="83">
        <f>SUM(I454:I459)</f>
        <v>998951.35000000009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290291.42</v>
      </c>
      <c r="G461" s="42">
        <f>G452+G460</f>
        <v>708659.93</v>
      </c>
      <c r="H461" s="42">
        <f>H452+H460</f>
        <v>0</v>
      </c>
      <c r="I461" s="42">
        <f>I452+I460</f>
        <v>998951.35000000009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626317.59</v>
      </c>
      <c r="G465" s="18">
        <v>14922.51</v>
      </c>
      <c r="H465" s="18">
        <v>11163.42</v>
      </c>
      <c r="I465" s="18">
        <v>0</v>
      </c>
      <c r="J465" s="18">
        <v>898209.66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19675202.690000001</v>
      </c>
      <c r="G468" s="18">
        <v>554500.94999999995</v>
      </c>
      <c r="H468" s="18">
        <v>1013290.59</v>
      </c>
      <c r="I468" s="18">
        <v>0</v>
      </c>
      <c r="J468" s="18">
        <v>128467.69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19675202.690000001</v>
      </c>
      <c r="G470" s="53">
        <f>SUM(G468:G469)</f>
        <v>554500.94999999995</v>
      </c>
      <c r="H470" s="53">
        <f>SUM(H468:H469)</f>
        <v>1013290.59</v>
      </c>
      <c r="I470" s="53">
        <f>SUM(I468:I469)</f>
        <v>0</v>
      </c>
      <c r="J470" s="53">
        <f>SUM(J468:J469)</f>
        <v>128467.69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19452260.57</v>
      </c>
      <c r="G472" s="18">
        <v>569423.46</v>
      </c>
      <c r="H472" s="18">
        <v>1004758.56</v>
      </c>
      <c r="I472" s="18">
        <v>0</v>
      </c>
      <c r="J472" s="18">
        <v>27726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19452260.57</v>
      </c>
      <c r="G474" s="53">
        <f>SUM(G472:G473)</f>
        <v>569423.46</v>
      </c>
      <c r="H474" s="53">
        <f>SUM(H472:H473)</f>
        <v>1004758.56</v>
      </c>
      <c r="I474" s="53">
        <f>SUM(I472:I473)</f>
        <v>0</v>
      </c>
      <c r="J474" s="53">
        <f>SUM(J472:J473)</f>
        <v>27726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849259.71000000089</v>
      </c>
      <c r="G476" s="53">
        <f>(G465+G470)- G474</f>
        <v>0</v>
      </c>
      <c r="H476" s="53">
        <f>(H465+H470)- H474</f>
        <v>19695.449999999953</v>
      </c>
      <c r="I476" s="53">
        <f>(I465+I470)- I474</f>
        <v>0</v>
      </c>
      <c r="J476" s="53">
        <f>(J465+J470)- J474</f>
        <v>998951.35000000009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948908.27</v>
      </c>
      <c r="G521" s="18">
        <v>582079.87</v>
      </c>
      <c r="H521" s="18">
        <v>90564.94</v>
      </c>
      <c r="I521" s="18">
        <v>10135.129999999999</v>
      </c>
      <c r="J521" s="18">
        <v>3479.5</v>
      </c>
      <c r="K521" s="18">
        <v>1493.09</v>
      </c>
      <c r="L521" s="88">
        <f>SUM(F521:K521)</f>
        <v>1636660.8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352783.75</v>
      </c>
      <c r="G523" s="18">
        <v>214203.21</v>
      </c>
      <c r="H523" s="18">
        <v>133554.81</v>
      </c>
      <c r="I523" s="18">
        <v>1477.85</v>
      </c>
      <c r="J523" s="18">
        <v>268.82</v>
      </c>
      <c r="K523" s="18">
        <v>0</v>
      </c>
      <c r="L523" s="88">
        <f>SUM(F523:K523)</f>
        <v>702288.44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1301692.02</v>
      </c>
      <c r="G524" s="108">
        <f t="shared" ref="G524:L524" si="36">SUM(G521:G523)</f>
        <v>796283.08</v>
      </c>
      <c r="H524" s="108">
        <f t="shared" si="36"/>
        <v>224119.75</v>
      </c>
      <c r="I524" s="108">
        <f t="shared" si="36"/>
        <v>11612.98</v>
      </c>
      <c r="J524" s="108">
        <f t="shared" si="36"/>
        <v>3748.32</v>
      </c>
      <c r="K524" s="108">
        <f t="shared" si="36"/>
        <v>1493.09</v>
      </c>
      <c r="L524" s="89">
        <f t="shared" si="36"/>
        <v>2338949.2400000002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297659.93</v>
      </c>
      <c r="G526" s="18">
        <v>155635.95000000001</v>
      </c>
      <c r="H526" s="18">
        <v>16462.830000000002</v>
      </c>
      <c r="I526" s="18">
        <v>9890.9599999999991</v>
      </c>
      <c r="J526" s="18">
        <v>267.95</v>
      </c>
      <c r="K526" s="18">
        <v>0</v>
      </c>
      <c r="L526" s="88">
        <f>SUM(F526:K526)</f>
        <v>479917.62000000005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88905.05</v>
      </c>
      <c r="G528" s="18">
        <v>51062.43</v>
      </c>
      <c r="H528" s="18">
        <v>7596.09</v>
      </c>
      <c r="I528" s="18">
        <v>2709.35</v>
      </c>
      <c r="J528" s="18">
        <v>3392.55</v>
      </c>
      <c r="K528" s="18">
        <v>0</v>
      </c>
      <c r="L528" s="88">
        <f>SUM(F528:K528)</f>
        <v>153665.47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386564.98</v>
      </c>
      <c r="G529" s="89">
        <f t="shared" ref="G529:L529" si="37">SUM(G526:G528)</f>
        <v>206698.38</v>
      </c>
      <c r="H529" s="89">
        <f t="shared" si="37"/>
        <v>24058.920000000002</v>
      </c>
      <c r="I529" s="89">
        <f t="shared" si="37"/>
        <v>12600.31</v>
      </c>
      <c r="J529" s="89">
        <f t="shared" si="37"/>
        <v>3660.5</v>
      </c>
      <c r="K529" s="89">
        <f t="shared" si="37"/>
        <v>0</v>
      </c>
      <c r="L529" s="89">
        <f t="shared" si="37"/>
        <v>633583.09000000008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148261</v>
      </c>
      <c r="G531" s="18">
        <v>65357.66</v>
      </c>
      <c r="H531" s="18">
        <v>4731.93</v>
      </c>
      <c r="I531" s="18">
        <v>533.46</v>
      </c>
      <c r="J531" s="18">
        <v>1026.03</v>
      </c>
      <c r="K531" s="18">
        <v>5764.99</v>
      </c>
      <c r="L531" s="88">
        <f>SUM(F531:K531)</f>
        <v>225675.06999999998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61455.47</v>
      </c>
      <c r="G533" s="18">
        <v>25661.83</v>
      </c>
      <c r="H533" s="18">
        <v>1532.44</v>
      </c>
      <c r="I533" s="18">
        <v>65.34</v>
      </c>
      <c r="J533" s="18">
        <v>505.36</v>
      </c>
      <c r="K533" s="18">
        <v>2790.24</v>
      </c>
      <c r="L533" s="88">
        <f>SUM(F533:K533)</f>
        <v>92010.680000000008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209716.47</v>
      </c>
      <c r="G534" s="89">
        <f t="shared" ref="G534:L534" si="38">SUM(G531:G533)</f>
        <v>91019.49</v>
      </c>
      <c r="H534" s="89">
        <f t="shared" si="38"/>
        <v>6264.3700000000008</v>
      </c>
      <c r="I534" s="89">
        <f t="shared" si="38"/>
        <v>598.80000000000007</v>
      </c>
      <c r="J534" s="89">
        <f t="shared" si="38"/>
        <v>1531.3899999999999</v>
      </c>
      <c r="K534" s="89">
        <f t="shared" si="38"/>
        <v>8555.23</v>
      </c>
      <c r="L534" s="89">
        <f t="shared" si="38"/>
        <v>317685.75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17784.310000000001</v>
      </c>
      <c r="G541" s="18">
        <v>7622.56</v>
      </c>
      <c r="H541" s="18">
        <v>97469.62</v>
      </c>
      <c r="I541" s="18">
        <v>2153.7399999999998</v>
      </c>
      <c r="J541" s="18">
        <v>0</v>
      </c>
      <c r="K541" s="18">
        <v>388.37</v>
      </c>
      <c r="L541" s="88">
        <f>SUM(F541:K541)</f>
        <v>125418.59999999999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8759.44</v>
      </c>
      <c r="G543" s="18">
        <v>3754.39</v>
      </c>
      <c r="H543" s="18">
        <v>48007.42</v>
      </c>
      <c r="I543" s="18">
        <v>1060.8</v>
      </c>
      <c r="J543" s="18">
        <v>0</v>
      </c>
      <c r="K543" s="18">
        <v>191.29</v>
      </c>
      <c r="L543" s="88">
        <f>SUM(F543:K543)</f>
        <v>61773.340000000004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26543.75</v>
      </c>
      <c r="G544" s="193">
        <f t="shared" ref="G544:L544" si="40">SUM(G541:G543)</f>
        <v>11376.95</v>
      </c>
      <c r="H544" s="193">
        <f t="shared" si="40"/>
        <v>145477.03999999998</v>
      </c>
      <c r="I544" s="193">
        <f t="shared" si="40"/>
        <v>3214.54</v>
      </c>
      <c r="J544" s="193">
        <f t="shared" si="40"/>
        <v>0</v>
      </c>
      <c r="K544" s="193">
        <f t="shared" si="40"/>
        <v>579.66</v>
      </c>
      <c r="L544" s="193">
        <f t="shared" si="40"/>
        <v>187191.94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1924517.22</v>
      </c>
      <c r="G545" s="89">
        <f t="shared" ref="G545:L545" si="41">G524+G529+G534+G539+G544</f>
        <v>1105377.8999999999</v>
      </c>
      <c r="H545" s="89">
        <f t="shared" si="41"/>
        <v>399920.07999999996</v>
      </c>
      <c r="I545" s="89">
        <f t="shared" si="41"/>
        <v>28026.63</v>
      </c>
      <c r="J545" s="89">
        <f t="shared" si="41"/>
        <v>8940.2099999999991</v>
      </c>
      <c r="K545" s="89">
        <f t="shared" si="41"/>
        <v>10627.98</v>
      </c>
      <c r="L545" s="89">
        <f t="shared" si="41"/>
        <v>3477410.02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1636660.8</v>
      </c>
      <c r="G549" s="87">
        <f>L526</f>
        <v>479917.62000000005</v>
      </c>
      <c r="H549" s="87">
        <f>L531</f>
        <v>225675.06999999998</v>
      </c>
      <c r="I549" s="87">
        <f>L536</f>
        <v>0</v>
      </c>
      <c r="J549" s="87">
        <f>L541</f>
        <v>125418.59999999999</v>
      </c>
      <c r="K549" s="87">
        <f>SUM(F549:J549)</f>
        <v>2467672.09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702288.44</v>
      </c>
      <c r="G551" s="87">
        <f>L528</f>
        <v>153665.47</v>
      </c>
      <c r="H551" s="87">
        <f>L533</f>
        <v>92010.680000000008</v>
      </c>
      <c r="I551" s="87">
        <f>L538</f>
        <v>0</v>
      </c>
      <c r="J551" s="87">
        <f>L543</f>
        <v>61773.340000000004</v>
      </c>
      <c r="K551" s="87">
        <f>SUM(F551:J551)</f>
        <v>1009737.9299999999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2338949.2400000002</v>
      </c>
      <c r="G552" s="89">
        <f t="shared" si="42"/>
        <v>633583.09000000008</v>
      </c>
      <c r="H552" s="89">
        <f t="shared" si="42"/>
        <v>317685.75</v>
      </c>
      <c r="I552" s="89">
        <f t="shared" si="42"/>
        <v>0</v>
      </c>
      <c r="J552" s="89">
        <f t="shared" si="42"/>
        <v>187191.94</v>
      </c>
      <c r="K552" s="89">
        <f t="shared" si="42"/>
        <v>3477410.0199999996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5290.5</v>
      </c>
      <c r="I562" s="18">
        <v>16</v>
      </c>
      <c r="J562" s="18"/>
      <c r="K562" s="18"/>
      <c r="L562" s="88">
        <f>SUM(F562:K562)</f>
        <v>5306.5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 t="s">
        <v>287</v>
      </c>
      <c r="I564" s="18" t="s">
        <v>287</v>
      </c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5290.5</v>
      </c>
      <c r="I565" s="89">
        <f t="shared" si="44"/>
        <v>16</v>
      </c>
      <c r="J565" s="89">
        <f t="shared" si="44"/>
        <v>0</v>
      </c>
      <c r="K565" s="89">
        <f t="shared" si="44"/>
        <v>0</v>
      </c>
      <c r="L565" s="89">
        <f t="shared" si="44"/>
        <v>5306.5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5290.5</v>
      </c>
      <c r="I571" s="89">
        <f t="shared" si="46"/>
        <v>16</v>
      </c>
      <c r="J571" s="89">
        <f t="shared" si="46"/>
        <v>0</v>
      </c>
      <c r="K571" s="89">
        <f t="shared" si="46"/>
        <v>0</v>
      </c>
      <c r="L571" s="89">
        <f t="shared" si="46"/>
        <v>5306.5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 t="s">
        <v>287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19213.73</v>
      </c>
      <c r="I579" s="87">
        <f t="shared" si="47"/>
        <v>19213.73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76696.27</v>
      </c>
      <c r="G582" s="18"/>
      <c r="H582" s="18">
        <v>113783.84</v>
      </c>
      <c r="I582" s="87">
        <f t="shared" si="47"/>
        <v>190480.11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47179.23</v>
      </c>
      <c r="I584" s="87">
        <f t="shared" si="47"/>
        <v>47179.23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513234.93</v>
      </c>
      <c r="I591" s="18"/>
      <c r="J591" s="18">
        <v>261834.33</v>
      </c>
      <c r="K591" s="104">
        <f t="shared" ref="K591:K597" si="48">SUM(H591:J591)</f>
        <v>775069.26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117942.35</v>
      </c>
      <c r="I592" s="18"/>
      <c r="J592" s="18">
        <v>58091.01</v>
      </c>
      <c r="K592" s="104">
        <f t="shared" si="48"/>
        <v>176033.36000000002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20785.38</v>
      </c>
      <c r="K593" s="104">
        <f t="shared" si="48"/>
        <v>20785.38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19928.689999999999</v>
      </c>
      <c r="I594" s="18"/>
      <c r="J594" s="18">
        <v>85000</v>
      </c>
      <c r="K594" s="104">
        <f t="shared" si="48"/>
        <v>104928.69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18881.490000000002</v>
      </c>
      <c r="I595" s="18"/>
      <c r="J595" s="18">
        <v>12186.9</v>
      </c>
      <c r="K595" s="104">
        <f t="shared" si="48"/>
        <v>31068.39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7476.25</v>
      </c>
      <c r="I597" s="18"/>
      <c r="J597" s="18">
        <v>3682.33</v>
      </c>
      <c r="K597" s="104">
        <f t="shared" si="48"/>
        <v>11158.58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677463.71</v>
      </c>
      <c r="I598" s="108">
        <f>SUM(I591:I597)</f>
        <v>0</v>
      </c>
      <c r="J598" s="108">
        <f>SUM(J591:J597)</f>
        <v>441579.95</v>
      </c>
      <c r="K598" s="108">
        <f>SUM(K591:K597)</f>
        <v>1119043.6599999999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212035.35</v>
      </c>
      <c r="I604" s="18"/>
      <c r="J604" s="18">
        <v>160252.9</v>
      </c>
      <c r="K604" s="104">
        <f>SUM(H604:J604)</f>
        <v>372288.25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212035.35</v>
      </c>
      <c r="I605" s="108">
        <f>SUM(I602:I604)</f>
        <v>0</v>
      </c>
      <c r="J605" s="108">
        <f>SUM(J602:J604)</f>
        <v>160252.9</v>
      </c>
      <c r="K605" s="108">
        <f>SUM(K602:K604)</f>
        <v>372288.25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1200</v>
      </c>
      <c r="G611" s="18">
        <v>257.49</v>
      </c>
      <c r="H611" s="18">
        <v>2200</v>
      </c>
      <c r="I611" s="18"/>
      <c r="J611" s="18"/>
      <c r="K611" s="18"/>
      <c r="L611" s="88">
        <f>SUM(F611:K611)</f>
        <v>3657.49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4500</v>
      </c>
      <c r="G613" s="18">
        <v>971.05</v>
      </c>
      <c r="H613" s="18">
        <v>355.48</v>
      </c>
      <c r="I613" s="18">
        <v>2365.1799999999998</v>
      </c>
      <c r="J613" s="18"/>
      <c r="K613" s="18"/>
      <c r="L613" s="88">
        <f>SUM(F613:K613)</f>
        <v>8191.7100000000009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5700</v>
      </c>
      <c r="G614" s="108">
        <f t="shared" si="49"/>
        <v>1228.54</v>
      </c>
      <c r="H614" s="108">
        <f t="shared" si="49"/>
        <v>2555.48</v>
      </c>
      <c r="I614" s="108">
        <f t="shared" si="49"/>
        <v>2365.1799999999998</v>
      </c>
      <c r="J614" s="108">
        <f t="shared" si="49"/>
        <v>0</v>
      </c>
      <c r="K614" s="108">
        <f t="shared" si="49"/>
        <v>0</v>
      </c>
      <c r="L614" s="89">
        <f t="shared" si="49"/>
        <v>11849.2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1848517.8699999999</v>
      </c>
      <c r="H617" s="109">
        <f>SUM(F52)</f>
        <v>1848517.87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24338.1</v>
      </c>
      <c r="H618" s="109">
        <f>SUM(G52)</f>
        <v>24338.1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444507.63</v>
      </c>
      <c r="H619" s="109">
        <f>SUM(H52)</f>
        <v>444507.63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998951.35000000009</v>
      </c>
      <c r="H621" s="109">
        <f>SUM(J52)</f>
        <v>998951.35000000009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849259.71</v>
      </c>
      <c r="H622" s="109">
        <f>F476</f>
        <v>849259.71000000089</v>
      </c>
      <c r="I622" s="121" t="s">
        <v>101</v>
      </c>
      <c r="J622" s="109">
        <f t="shared" ref="J622:J655" si="50">G622-H622</f>
        <v>-9.3132257461547852E-10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19695.45</v>
      </c>
      <c r="H624" s="109">
        <f>H476</f>
        <v>19695.449999999953</v>
      </c>
      <c r="I624" s="121" t="s">
        <v>103</v>
      </c>
      <c r="J624" s="109">
        <f t="shared" si="50"/>
        <v>4.7293724492192268E-11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998951.35000000009</v>
      </c>
      <c r="H626" s="109">
        <f>J476</f>
        <v>998951.35000000009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19675202.690000005</v>
      </c>
      <c r="H627" s="104">
        <f>SUM(F468)</f>
        <v>19675202.690000001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554500.94999999995</v>
      </c>
      <c r="H628" s="104">
        <f>SUM(G468)</f>
        <v>554500.94999999995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1013290.5900000001</v>
      </c>
      <c r="H629" s="104">
        <f>SUM(H468)</f>
        <v>1013290.59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128467.69</v>
      </c>
      <c r="H631" s="104">
        <f>SUM(J468)</f>
        <v>128467.69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19452260.57</v>
      </c>
      <c r="H632" s="104">
        <f>SUM(F472)</f>
        <v>19452260.57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1004758.56</v>
      </c>
      <c r="H633" s="104">
        <f>SUM(H472)</f>
        <v>1004758.56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233086.36000000002</v>
      </c>
      <c r="H634" s="104">
        <f>I369</f>
        <v>233086.36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569423.46000000008</v>
      </c>
      <c r="H635" s="104">
        <f>SUM(G472)</f>
        <v>569423.46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128467.68999999999</v>
      </c>
      <c r="H637" s="164">
        <f>SUM(J468)</f>
        <v>128467.69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27726</v>
      </c>
      <c r="H638" s="164">
        <f>SUM(J472)</f>
        <v>27726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290291.42</v>
      </c>
      <c r="H639" s="104">
        <f>SUM(F461)</f>
        <v>290291.42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708659.93</v>
      </c>
      <c r="H640" s="104">
        <f>SUM(G461)</f>
        <v>708659.93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998951.35000000009</v>
      </c>
      <c r="H642" s="104">
        <f>SUM(I461)</f>
        <v>998951.35000000009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32410.19</v>
      </c>
      <c r="H644" s="104">
        <f>H408</f>
        <v>32410.19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90371.5</v>
      </c>
      <c r="H645" s="104">
        <f>G408</f>
        <v>90371.5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128467.69</v>
      </c>
      <c r="H646" s="104">
        <f>L408</f>
        <v>128467.68999999999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1119043.6599999999</v>
      </c>
      <c r="H647" s="104">
        <f>L208+L226+L244</f>
        <v>1119043.6599999999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372288.25</v>
      </c>
      <c r="H648" s="104">
        <f>(J257+J338)-(J255+J336)</f>
        <v>372288.25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677463.71</v>
      </c>
      <c r="H649" s="104">
        <f>H598</f>
        <v>677463.71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441579.94999999995</v>
      </c>
      <c r="H651" s="104">
        <f>J598</f>
        <v>441579.95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37444.74</v>
      </c>
      <c r="H652" s="104">
        <f>K263+K345</f>
        <v>37444.74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 t="str">
        <f>K264</f>
        <v xml:space="preserve"> 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90371.5</v>
      </c>
      <c r="H655" s="104">
        <f>K266+K347</f>
        <v>90371.5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12800117.449999999</v>
      </c>
      <c r="G660" s="19">
        <f>(L229+L309+L359)</f>
        <v>0</v>
      </c>
      <c r="H660" s="19">
        <f>(L247+L328+L360)</f>
        <v>7982846.4499999993</v>
      </c>
      <c r="I660" s="19">
        <f>SUM(F660:H660)</f>
        <v>20782963.899999999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115785.11682914433</v>
      </c>
      <c r="G661" s="19">
        <f>(L359/IF(SUM(L358:L360)=0,1,SUM(L358:L360))*(SUM(G97:G110)))</f>
        <v>0</v>
      </c>
      <c r="H661" s="19">
        <f>(L360/IF(SUM(L358:L360)=0,1,SUM(L358:L360))*(SUM(G97:G110)))</f>
        <v>59024.343170855653</v>
      </c>
      <c r="I661" s="19">
        <f>SUM(F661:H661)</f>
        <v>174809.46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677463.71</v>
      </c>
      <c r="G662" s="19">
        <f>(L226+L306)-(J226+J306)</f>
        <v>0</v>
      </c>
      <c r="H662" s="19">
        <f>(L244+L325)-(J244+J325)</f>
        <v>441579.94999999995</v>
      </c>
      <c r="I662" s="19">
        <f>SUM(F662:H662)</f>
        <v>1119043.6599999999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292389.11</v>
      </c>
      <c r="G663" s="199">
        <f>SUM(G575:G587)+SUM(I602:I604)+L612</f>
        <v>0</v>
      </c>
      <c r="H663" s="199">
        <f>SUM(H575:H587)+SUM(J602:J604)+L613</f>
        <v>348621.41000000003</v>
      </c>
      <c r="I663" s="19">
        <f>SUM(F663:H663)</f>
        <v>641010.52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11714479.513170855</v>
      </c>
      <c r="G664" s="19">
        <f>G660-SUM(G661:G663)</f>
        <v>0</v>
      </c>
      <c r="H664" s="19">
        <f>H660-SUM(H661:H663)</f>
        <v>7133620.7468291437</v>
      </c>
      <c r="I664" s="19">
        <f>I660-SUM(I661:I663)</f>
        <v>18848100.259999998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730.27</v>
      </c>
      <c r="G665" s="248"/>
      <c r="H665" s="248">
        <v>389.85</v>
      </c>
      <c r="I665" s="19">
        <f>SUM(F665:H665)</f>
        <v>1120.1199999999999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16041.3</v>
      </c>
      <c r="G667" s="19" t="e">
        <f>ROUND(G664/G665,2)</f>
        <v>#DIV/0!</v>
      </c>
      <c r="H667" s="19">
        <f>ROUND(H664/H665,2)</f>
        <v>18298.37</v>
      </c>
      <c r="I667" s="19">
        <f>ROUND(I664/I665,2)</f>
        <v>16826.86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5.21</v>
      </c>
      <c r="I670" s="19">
        <f>SUM(F670:H670)</f>
        <v>5.21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16041.3</v>
      </c>
      <c r="G672" s="19" t="e">
        <f>ROUND((G664+G669)/(G665+G670),2)</f>
        <v>#DIV/0!</v>
      </c>
      <c r="H672" s="19">
        <f>ROUND((H664+H669)/(H665+H670),2)</f>
        <v>18057.060000000001</v>
      </c>
      <c r="I672" s="19">
        <f>ROUND((I664+I669)/(I665+I670),2)</f>
        <v>16748.95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White Mountains Regional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4541917.37</v>
      </c>
      <c r="C9" s="229">
        <f>'DOE25'!G197+'DOE25'!G215+'DOE25'!G233+'DOE25'!G276+'DOE25'!G295+'DOE25'!G314</f>
        <v>2522031.9</v>
      </c>
    </row>
    <row r="10" spans="1:3" x14ac:dyDescent="0.2">
      <c r="A10" t="s">
        <v>779</v>
      </c>
      <c r="B10" s="240">
        <v>4133122.99</v>
      </c>
      <c r="C10" s="240">
        <v>2305106.46</v>
      </c>
    </row>
    <row r="11" spans="1:3" x14ac:dyDescent="0.2">
      <c r="A11" t="s">
        <v>780</v>
      </c>
      <c r="B11" s="240">
        <v>146355.12</v>
      </c>
      <c r="C11" s="240">
        <v>151475.35</v>
      </c>
    </row>
    <row r="12" spans="1:3" x14ac:dyDescent="0.2">
      <c r="A12" t="s">
        <v>781</v>
      </c>
      <c r="B12" s="240">
        <v>262439.26</v>
      </c>
      <c r="C12" s="240">
        <v>65450.09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4541917.37</v>
      </c>
      <c r="C13" s="231">
        <f>SUM(C10:C12)</f>
        <v>2522031.9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1289030.79</v>
      </c>
      <c r="C18" s="229">
        <f>'DOE25'!G198+'DOE25'!G216+'DOE25'!G234+'DOE25'!G277+'DOE25'!G296+'DOE25'!G315</f>
        <v>794156.62</v>
      </c>
    </row>
    <row r="19" spans="1:3" x14ac:dyDescent="0.2">
      <c r="A19" t="s">
        <v>779</v>
      </c>
      <c r="B19" s="240">
        <v>693040.03</v>
      </c>
      <c r="C19" s="240">
        <v>392698.36</v>
      </c>
    </row>
    <row r="20" spans="1:3" x14ac:dyDescent="0.2">
      <c r="A20" t="s">
        <v>780</v>
      </c>
      <c r="B20" s="240">
        <v>588636.27</v>
      </c>
      <c r="C20" s="240">
        <v>396502.52</v>
      </c>
    </row>
    <row r="21" spans="1:3" x14ac:dyDescent="0.2">
      <c r="A21" t="s">
        <v>781</v>
      </c>
      <c r="B21" s="240">
        <v>7354.49</v>
      </c>
      <c r="C21" s="240">
        <v>4955.74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1289030.79</v>
      </c>
      <c r="C22" s="231">
        <f>SUM(C19:C21)</f>
        <v>794156.62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318096.02</v>
      </c>
      <c r="C27" s="234">
        <f>'DOE25'!G199+'DOE25'!G217+'DOE25'!G235+'DOE25'!G278+'DOE25'!G297+'DOE25'!G316</f>
        <v>158664.49</v>
      </c>
    </row>
    <row r="28" spans="1:3" x14ac:dyDescent="0.2">
      <c r="A28" t="s">
        <v>779</v>
      </c>
      <c r="B28" s="240">
        <v>318096.02</v>
      </c>
      <c r="C28" s="240">
        <v>158664.49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318096.02</v>
      </c>
      <c r="C31" s="231">
        <f>SUM(C28:C30)</f>
        <v>158664.49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213855.95</v>
      </c>
      <c r="C36" s="235">
        <f>'DOE25'!G200+'DOE25'!G218+'DOE25'!G236+'DOE25'!G279+'DOE25'!G298+'DOE25'!G317</f>
        <v>32794.379999999997</v>
      </c>
    </row>
    <row r="37" spans="1:3" x14ac:dyDescent="0.2">
      <c r="A37" t="s">
        <v>779</v>
      </c>
      <c r="B37" s="240">
        <v>5700</v>
      </c>
      <c r="C37" s="240">
        <v>626.79999999999995</v>
      </c>
    </row>
    <row r="38" spans="1:3" x14ac:dyDescent="0.2">
      <c r="A38" t="s">
        <v>780</v>
      </c>
      <c r="B38" s="240">
        <v>0</v>
      </c>
      <c r="C38" s="240"/>
    </row>
    <row r="39" spans="1:3" x14ac:dyDescent="0.2">
      <c r="A39" t="s">
        <v>781</v>
      </c>
      <c r="B39" s="240">
        <v>208155.95</v>
      </c>
      <c r="C39" s="240">
        <v>32167.58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213855.95</v>
      </c>
      <c r="C40" s="231">
        <f>SUM(C37:C39)</f>
        <v>32794.380000000005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White Mountains Regional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10365008.709999999</v>
      </c>
      <c r="D5" s="20">
        <f>SUM('DOE25'!L197:L200)+SUM('DOE25'!L215:L218)+SUM('DOE25'!L233:L236)-F5-G5</f>
        <v>10068374.409999998</v>
      </c>
      <c r="E5" s="243"/>
      <c r="F5" s="255">
        <f>SUM('DOE25'!J197:J200)+SUM('DOE25'!J215:J218)+SUM('DOE25'!J233:J236)</f>
        <v>214505.21</v>
      </c>
      <c r="G5" s="53">
        <f>SUM('DOE25'!K197:K200)+SUM('DOE25'!K215:K218)+SUM('DOE25'!K233:K236)</f>
        <v>82129.09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1463272.61</v>
      </c>
      <c r="D6" s="20">
        <f>'DOE25'!L202+'DOE25'!L220+'DOE25'!L238-F6-G6</f>
        <v>1462266.8</v>
      </c>
      <c r="E6" s="243"/>
      <c r="F6" s="255">
        <f>'DOE25'!J202+'DOE25'!J220+'DOE25'!J238</f>
        <v>444.99</v>
      </c>
      <c r="G6" s="53">
        <f>'DOE25'!K202+'DOE25'!K220+'DOE25'!K238</f>
        <v>560.81999999999994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458550.65</v>
      </c>
      <c r="D7" s="20">
        <f>'DOE25'!L203+'DOE25'!L221+'DOE25'!L239-F7-G7</f>
        <v>439483.93000000005</v>
      </c>
      <c r="E7" s="243"/>
      <c r="F7" s="255">
        <f>'DOE25'!J203+'DOE25'!J221+'DOE25'!J239</f>
        <v>10514.72</v>
      </c>
      <c r="G7" s="53">
        <f>'DOE25'!K203+'DOE25'!K221+'DOE25'!K239</f>
        <v>8552</v>
      </c>
      <c r="H7" s="259"/>
    </row>
    <row r="8" spans="1:9" x14ac:dyDescent="0.2">
      <c r="A8" s="32">
        <v>2300</v>
      </c>
      <c r="B8" t="s">
        <v>802</v>
      </c>
      <c r="C8" s="245">
        <f t="shared" si="0"/>
        <v>945622.55</v>
      </c>
      <c r="D8" s="243"/>
      <c r="E8" s="20">
        <f>'DOE25'!L204+'DOE25'!L222+'DOE25'!L240-F8-G8-D9-D11</f>
        <v>860463.03000000014</v>
      </c>
      <c r="F8" s="255">
        <f>'DOE25'!J204+'DOE25'!J222+'DOE25'!J240</f>
        <v>28049.71</v>
      </c>
      <c r="G8" s="53">
        <f>'DOE25'!K204+'DOE25'!K222+'DOE25'!K240</f>
        <v>57109.81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140255.67000000001</v>
      </c>
      <c r="D9" s="244">
        <v>140255.67000000001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15600</v>
      </c>
      <c r="D10" s="243"/>
      <c r="E10" s="244">
        <v>15600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277105.86</v>
      </c>
      <c r="D11" s="244">
        <v>277105.86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1424578.83</v>
      </c>
      <c r="D12" s="20">
        <f>'DOE25'!L205+'DOE25'!L223+'DOE25'!L241-F12-G12</f>
        <v>1379553.9300000002</v>
      </c>
      <c r="E12" s="243"/>
      <c r="F12" s="255">
        <f>'DOE25'!J205+'DOE25'!J223+'DOE25'!J241</f>
        <v>3685.03</v>
      </c>
      <c r="G12" s="53">
        <f>'DOE25'!K205+'DOE25'!K223+'DOE25'!K241</f>
        <v>41339.869999999995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248862</v>
      </c>
      <c r="D13" s="243"/>
      <c r="E13" s="20">
        <f>'DOE25'!L206+'DOE25'!L224+'DOE25'!L242-F13-G13</f>
        <v>241218.33</v>
      </c>
      <c r="F13" s="255">
        <f>'DOE25'!J206+'DOE25'!J224+'DOE25'!J242</f>
        <v>7643.67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2836063.46</v>
      </c>
      <c r="D14" s="20">
        <f>'DOE25'!L207+'DOE25'!L225+'DOE25'!L243-F14-G14</f>
        <v>2822413.25</v>
      </c>
      <c r="E14" s="243"/>
      <c r="F14" s="255">
        <f>'DOE25'!J207+'DOE25'!J225+'DOE25'!J243</f>
        <v>9941.2099999999991</v>
      </c>
      <c r="G14" s="53">
        <f>'DOE25'!K207+'DOE25'!K225+'DOE25'!K243</f>
        <v>3709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1119043.6599999999</v>
      </c>
      <c r="D15" s="20">
        <f>'DOE25'!L208+'DOE25'!L226+'DOE25'!L244-F15-G15</f>
        <v>1118464</v>
      </c>
      <c r="E15" s="243"/>
      <c r="F15" s="255">
        <f>'DOE25'!J208+'DOE25'!J226+'DOE25'!J244</f>
        <v>0</v>
      </c>
      <c r="G15" s="53">
        <f>'DOE25'!K208+'DOE25'!K226+'DOE25'!K244</f>
        <v>579.66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200</v>
      </c>
      <c r="D16" s="243"/>
      <c r="E16" s="20">
        <f>'DOE25'!L209+'DOE25'!L227+'DOE25'!L245-F16-G16</f>
        <v>200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4516.7299999999996</v>
      </c>
      <c r="D22" s="243"/>
      <c r="E22" s="243"/>
      <c r="F22" s="255">
        <f>'DOE25'!L255+'DOE25'!L336</f>
        <v>4516.7299999999996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349358.8600000001</v>
      </c>
      <c r="D29" s="20">
        <f>'DOE25'!L358+'DOE25'!L359+'DOE25'!L360-'DOE25'!I367-F29-G29</f>
        <v>344444.69000000012</v>
      </c>
      <c r="E29" s="243"/>
      <c r="F29" s="255">
        <f>'DOE25'!J358+'DOE25'!J359+'DOE25'!J360</f>
        <v>256.45</v>
      </c>
      <c r="G29" s="53">
        <f>'DOE25'!K358+'DOE25'!K359+'DOE25'!K360</f>
        <v>4657.72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949231.4</v>
      </c>
      <c r="D31" s="20">
        <f>'DOE25'!L290+'DOE25'!L309+'DOE25'!L328+'DOE25'!L333+'DOE25'!L334+'DOE25'!L335-F31-G31</f>
        <v>845410.69000000006</v>
      </c>
      <c r="E31" s="243"/>
      <c r="F31" s="255">
        <f>'DOE25'!J290+'DOE25'!J309+'DOE25'!J328+'DOE25'!J333+'DOE25'!J334+'DOE25'!J335</f>
        <v>97503.709999999992</v>
      </c>
      <c r="G31" s="53">
        <f>'DOE25'!K290+'DOE25'!K309+'DOE25'!K328+'DOE25'!K333+'DOE25'!K334+'DOE25'!K335</f>
        <v>6317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18897773.23</v>
      </c>
      <c r="E33" s="246">
        <f>SUM(E5:E31)</f>
        <v>1117481.3600000001</v>
      </c>
      <c r="F33" s="246">
        <f>SUM(F5:F31)</f>
        <v>377061.42999999993</v>
      </c>
      <c r="G33" s="246">
        <f>SUM(G5:G31)</f>
        <v>204954.97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1117481.3600000001</v>
      </c>
      <c r="E35" s="249"/>
    </row>
    <row r="36" spans="2:8" ht="12" thickTop="1" x14ac:dyDescent="0.2">
      <c r="B36" t="s">
        <v>815</v>
      </c>
      <c r="D36" s="20">
        <f>D33</f>
        <v>18897773.23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Mountains Regional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1355259.54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159.4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216332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245806.96</v>
      </c>
      <c r="D12" s="95">
        <f>'DOE25'!G13</f>
        <v>24338.1</v>
      </c>
      <c r="E12" s="95">
        <f>'DOE25'!H13</f>
        <v>444507.63</v>
      </c>
      <c r="F12" s="95">
        <f>'DOE25'!I13</f>
        <v>0</v>
      </c>
      <c r="G12" s="95">
        <f>'DOE25'!J13</f>
        <v>998951.35000000009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2878.17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28081.8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1848517.8699999999</v>
      </c>
      <c r="D18" s="41">
        <f>SUM(D8:D17)</f>
        <v>24338.1</v>
      </c>
      <c r="E18" s="41">
        <f>SUM(E8:E17)</f>
        <v>444507.63</v>
      </c>
      <c r="F18" s="41">
        <f>SUM(F8:F17)</f>
        <v>0</v>
      </c>
      <c r="G18" s="41">
        <f>SUM(G8:G17)</f>
        <v>998951.35000000009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-434489.76</v>
      </c>
      <c r="D21" s="95">
        <f>'DOE25'!G22</f>
        <v>24338.1</v>
      </c>
      <c r="E21" s="95">
        <f>'DOE25'!H22</f>
        <v>410151.66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242457.67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23228.16</v>
      </c>
      <c r="D23" s="95">
        <f>'DOE25'!G24</f>
        <v>0</v>
      </c>
      <c r="E23" s="95">
        <f>'DOE25'!H24</f>
        <v>30.34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1165320.04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2742.05</v>
      </c>
      <c r="D28" s="95">
        <f>'DOE25'!G29</f>
        <v>0</v>
      </c>
      <c r="E28" s="95">
        <f>'DOE25'!H29</f>
        <v>134.46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14495.72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999258.16000000015</v>
      </c>
      <c r="D31" s="41">
        <f>SUM(D21:D30)</f>
        <v>24338.1</v>
      </c>
      <c r="E31" s="41">
        <f>SUM(E21:E30)</f>
        <v>424812.18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185000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19695.45</v>
      </c>
      <c r="F47" s="95">
        <f>'DOE25'!I48</f>
        <v>0</v>
      </c>
      <c r="G47" s="95">
        <f>'DOE25'!J48</f>
        <v>998951.35000000009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60266.25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603993.46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849259.71</v>
      </c>
      <c r="D50" s="41">
        <f>SUM(D34:D49)</f>
        <v>0</v>
      </c>
      <c r="E50" s="41">
        <f>SUM(E34:E49)</f>
        <v>19695.45</v>
      </c>
      <c r="F50" s="41">
        <f>SUM(F34:F49)</f>
        <v>0</v>
      </c>
      <c r="G50" s="41">
        <f>SUM(G34:G49)</f>
        <v>998951.35000000009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1848517.87</v>
      </c>
      <c r="D51" s="41">
        <f>D50+D31</f>
        <v>24338.1</v>
      </c>
      <c r="E51" s="41">
        <f>E50+E31</f>
        <v>444507.63</v>
      </c>
      <c r="F51" s="41">
        <f>F50+F31</f>
        <v>0</v>
      </c>
      <c r="G51" s="41">
        <f>G50+G31</f>
        <v>998951.35000000009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9832153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576005.72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3275.91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32410.19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174809.46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13894.59</v>
      </c>
      <c r="D61" s="95">
        <f>SUM('DOE25'!G98:G110)</f>
        <v>0</v>
      </c>
      <c r="E61" s="95">
        <f>SUM('DOE25'!H98:H110)</f>
        <v>94633.19</v>
      </c>
      <c r="F61" s="95">
        <f>SUM('DOE25'!I98:I110)</f>
        <v>0</v>
      </c>
      <c r="G61" s="95">
        <f>SUM('DOE25'!J98:J110)</f>
        <v>5686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593176.22</v>
      </c>
      <c r="D62" s="130">
        <f>SUM(D57:D61)</f>
        <v>174809.46</v>
      </c>
      <c r="E62" s="130">
        <f>SUM(E57:E61)</f>
        <v>94633.19</v>
      </c>
      <c r="F62" s="130">
        <f>SUM(F57:F61)</f>
        <v>0</v>
      </c>
      <c r="G62" s="130">
        <f>SUM(G57:G61)</f>
        <v>38096.19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10425329.220000001</v>
      </c>
      <c r="D63" s="22">
        <f>D56+D62</f>
        <v>174809.46</v>
      </c>
      <c r="E63" s="22">
        <f>E56+E62</f>
        <v>94633.19</v>
      </c>
      <c r="F63" s="22">
        <f>F56+F62</f>
        <v>0</v>
      </c>
      <c r="G63" s="22">
        <f>G56+G62</f>
        <v>38096.19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6740208.4400000004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2191210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8931418.4400000013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29820.18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108645.06999999999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6437.3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138465.25</v>
      </c>
      <c r="D78" s="130">
        <f>SUM(D72:D77)</f>
        <v>6437.3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9069883.6900000013</v>
      </c>
      <c r="D81" s="130">
        <f>SUM(D79:D80)+D78+D70</f>
        <v>6437.3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93432.42</v>
      </c>
      <c r="D88" s="95">
        <f>SUM('DOE25'!G153:G161)</f>
        <v>335809.45</v>
      </c>
      <c r="E88" s="95">
        <f>SUM('DOE25'!H153:H161)</f>
        <v>918657.4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31030.2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124462.62</v>
      </c>
      <c r="D91" s="131">
        <f>SUM(D85:D90)</f>
        <v>335809.45</v>
      </c>
      <c r="E91" s="131">
        <f>SUM(E85:E90)</f>
        <v>918657.4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37444.74</v>
      </c>
      <c r="E96" s="95">
        <f>'DOE25'!H179</f>
        <v>0</v>
      </c>
      <c r="F96" s="95">
        <f>'DOE25'!I179</f>
        <v>0</v>
      </c>
      <c r="G96" s="95">
        <f>'DOE25'!J179</f>
        <v>90371.5</v>
      </c>
    </row>
    <row r="97" spans="1:7" x14ac:dyDescent="0.2">
      <c r="A97" t="s">
        <v>758</v>
      </c>
      <c r="B97" s="32" t="s">
        <v>188</v>
      </c>
      <c r="C97" s="95">
        <f>SUM('DOE25'!F180:F181)</f>
        <v>55527.16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55527.16</v>
      </c>
      <c r="D103" s="86">
        <f>SUM(D93:D102)</f>
        <v>37444.74</v>
      </c>
      <c r="E103" s="86">
        <f>SUM(E93:E102)</f>
        <v>0</v>
      </c>
      <c r="F103" s="86">
        <f>SUM(F93:F102)</f>
        <v>0</v>
      </c>
      <c r="G103" s="86">
        <f>SUM(G93:G102)</f>
        <v>90371.5</v>
      </c>
    </row>
    <row r="104" spans="1:7" ht="12.75" thickTop="1" thickBot="1" x14ac:dyDescent="0.25">
      <c r="A104" s="33" t="s">
        <v>765</v>
      </c>
      <c r="C104" s="86">
        <f>C63+C81+C91+C103</f>
        <v>19675202.690000005</v>
      </c>
      <c r="D104" s="86">
        <f>D63+D81+D91+D103</f>
        <v>554500.94999999995</v>
      </c>
      <c r="E104" s="86">
        <f>E63+E81+E91+E103</f>
        <v>1013290.5900000001</v>
      </c>
      <c r="F104" s="86">
        <f>F63+F81+F91+F103</f>
        <v>0</v>
      </c>
      <c r="G104" s="86">
        <f>G63+G81+G103</f>
        <v>128467.69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7177033.9499999993</v>
      </c>
      <c r="D109" s="24" t="s">
        <v>289</v>
      </c>
      <c r="E109" s="95">
        <f>('DOE25'!L276)+('DOE25'!L295)+('DOE25'!L314)</f>
        <v>491517.58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2308300.84</v>
      </c>
      <c r="D110" s="24" t="s">
        <v>289</v>
      </c>
      <c r="E110" s="95">
        <f>('DOE25'!L277)+('DOE25'!L296)+('DOE25'!L315)</f>
        <v>21474.989999999998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551197.21000000008</v>
      </c>
      <c r="D111" s="24" t="s">
        <v>289</v>
      </c>
      <c r="E111" s="95">
        <f>('DOE25'!L278)+('DOE25'!L297)+('DOE25'!L316)</f>
        <v>108200.10999999999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328476.71000000002</v>
      </c>
      <c r="D112" s="24" t="s">
        <v>289</v>
      </c>
      <c r="E112" s="95">
        <f>+('DOE25'!L279)+('DOE25'!L298)+('DOE25'!L317)</f>
        <v>30218.809999999998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14254.96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10365008.710000001</v>
      </c>
      <c r="D115" s="86">
        <f>SUM(D109:D114)</f>
        <v>0</v>
      </c>
      <c r="E115" s="86">
        <f>SUM(E109:E114)</f>
        <v>665666.44999999995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1463272.61</v>
      </c>
      <c r="D118" s="24" t="s">
        <v>289</v>
      </c>
      <c r="E118" s="95">
        <f>+('DOE25'!L281)+('DOE25'!L300)+('DOE25'!L319)</f>
        <v>218277.28999999998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458550.65</v>
      </c>
      <c r="D119" s="24" t="s">
        <v>289</v>
      </c>
      <c r="E119" s="95">
        <f>+('DOE25'!L282)+('DOE25'!L301)+('DOE25'!L320)</f>
        <v>35296.28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1362984.08</v>
      </c>
      <c r="D120" s="24" t="s">
        <v>289</v>
      </c>
      <c r="E120" s="95">
        <f>+('DOE25'!L283)+('DOE25'!L302)+('DOE25'!L321)</f>
        <v>4554.29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1424578.83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248862</v>
      </c>
      <c r="D122" s="24" t="s">
        <v>289</v>
      </c>
      <c r="E122" s="95">
        <f>+('DOE25'!L285)+('DOE25'!L304)+('DOE25'!L323)</f>
        <v>471.96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2836063.46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1119043.6599999999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200</v>
      </c>
      <c r="D125" s="24" t="s">
        <v>289</v>
      </c>
      <c r="E125" s="95">
        <f>+('DOE25'!L288)+('DOE25'!L307)+('DOE25'!L326)</f>
        <v>24965.13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569423.46000000008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8913555.2899999991</v>
      </c>
      <c r="D128" s="86">
        <f>SUM(D118:D127)</f>
        <v>569423.46000000008</v>
      </c>
      <c r="E128" s="86">
        <f>SUM(E118:E127)</f>
        <v>283564.94999999995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4516.7299999999996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55527.16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37444.74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21585.34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106882.34999999999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-38096.189999999988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41363.599999999999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173696.56999999998</v>
      </c>
      <c r="D144" s="141">
        <f>SUM(D130:D143)</f>
        <v>0</v>
      </c>
      <c r="E144" s="141">
        <f>SUM(E130:E143)</f>
        <v>55527.16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19452260.57</v>
      </c>
      <c r="D145" s="86">
        <f>(D115+D128+D144)</f>
        <v>569423.46000000008</v>
      </c>
      <c r="E145" s="86">
        <f>(E115+E128+E144)</f>
        <v>1004758.5599999999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White Mountains Regional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16041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18057</v>
      </c>
    </row>
    <row r="7" spans="1:4" x14ac:dyDescent="0.2">
      <c r="B7" t="s">
        <v>705</v>
      </c>
      <c r="C7" s="179">
        <f>IF('DOE25'!I665+'DOE25'!I670=0,0,ROUND('DOE25'!I672,0))</f>
        <v>16749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7668552</v>
      </c>
      <c r="D10" s="182">
        <f>ROUND((C10/$C$28)*100,1)</f>
        <v>37.1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2329776</v>
      </c>
      <c r="D11" s="182">
        <f>ROUND((C11/$C$28)*100,1)</f>
        <v>11.3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659397</v>
      </c>
      <c r="D12" s="182">
        <f>ROUND((C12/$C$28)*100,1)</f>
        <v>3.2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358696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1681550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493847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1392704</v>
      </c>
      <c r="D17" s="182">
        <f t="shared" si="0"/>
        <v>6.7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1424579</v>
      </c>
      <c r="D18" s="182">
        <f t="shared" si="0"/>
        <v>6.9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249334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2836063</v>
      </c>
      <c r="D20" s="182">
        <f t="shared" si="0"/>
        <v>13.7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1119044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14255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41363.599999999999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394613.54000000004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20663774.140000001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4517</v>
      </c>
    </row>
    <row r="30" spans="1:4" x14ac:dyDescent="0.2">
      <c r="B30" s="187" t="s">
        <v>729</v>
      </c>
      <c r="C30" s="180">
        <f>SUM(C28:C29)</f>
        <v>20668291.140000001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9832153</v>
      </c>
      <c r="D35" s="182">
        <f t="shared" ref="D35:D40" si="1">ROUND((C35/$C$41)*100,1)</f>
        <v>46.8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725905.59999999963</v>
      </c>
      <c r="D36" s="182">
        <f t="shared" si="1"/>
        <v>3.5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8931418</v>
      </c>
      <c r="D37" s="182">
        <f t="shared" si="1"/>
        <v>42.5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144903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1378929</v>
      </c>
      <c r="D39" s="182">
        <f t="shared" si="1"/>
        <v>6.6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21013308.600000001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White Mountains Regional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2016-10-21T13:16:42Z</cp:lastPrinted>
  <dcterms:created xsi:type="dcterms:W3CDTF">1997-12-04T19:04:30Z</dcterms:created>
  <dcterms:modified xsi:type="dcterms:W3CDTF">2016-12-01T18:52:30Z</dcterms:modified>
</cp:coreProperties>
</file>