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" i="1" l="1"/>
  <c r="J526" i="1" l="1"/>
  <c r="H526" i="1"/>
  <c r="G526" i="1"/>
  <c r="F526" i="1"/>
  <c r="H528" i="1"/>
  <c r="H527" i="1"/>
  <c r="G521" i="1"/>
  <c r="I531" i="1"/>
  <c r="I532" i="1"/>
  <c r="I533" i="1"/>
  <c r="F521" i="1"/>
  <c r="H541" i="1"/>
  <c r="H543" i="1"/>
  <c r="H542" i="1"/>
  <c r="K533" i="1"/>
  <c r="K532" i="1"/>
  <c r="K531" i="1"/>
  <c r="H533" i="1"/>
  <c r="H532" i="1"/>
  <c r="H531" i="1"/>
  <c r="G533" i="1"/>
  <c r="G532" i="1"/>
  <c r="G531" i="1"/>
  <c r="F531" i="1"/>
  <c r="H536" i="1"/>
  <c r="H538" i="1"/>
  <c r="F532" i="1"/>
  <c r="H537" i="1"/>
  <c r="I526" i="1"/>
  <c r="H523" i="1"/>
  <c r="H522" i="1"/>
  <c r="H521" i="1"/>
  <c r="F523" i="1"/>
  <c r="F522" i="1"/>
  <c r="K523" i="1"/>
  <c r="K522" i="1"/>
  <c r="K521" i="1"/>
  <c r="J523" i="1"/>
  <c r="J522" i="1"/>
  <c r="J521" i="1"/>
  <c r="I521" i="1"/>
  <c r="I523" i="1"/>
  <c r="I522" i="1"/>
  <c r="I507" i="1"/>
  <c r="G507" i="1"/>
  <c r="F507" i="1"/>
  <c r="G234" i="1" l="1"/>
  <c r="F234" i="1"/>
  <c r="G216" i="1"/>
  <c r="F216" i="1"/>
  <c r="F198" i="1"/>
  <c r="G197" i="1"/>
  <c r="F197" i="1"/>
  <c r="G564" i="1" l="1"/>
  <c r="C37" i="12" l="1"/>
  <c r="C39" i="12"/>
  <c r="C38" i="12"/>
  <c r="B39" i="12"/>
  <c r="B37" i="12"/>
  <c r="B38" i="12"/>
  <c r="D11" i="13" l="1"/>
  <c r="D9" i="13"/>
  <c r="F533" i="1"/>
  <c r="G611" i="1"/>
  <c r="F611" i="1"/>
  <c r="H604" i="1"/>
  <c r="J604" i="1"/>
  <c r="I604" i="1"/>
  <c r="I595" i="1"/>
  <c r="J595" i="1"/>
  <c r="J593" i="1"/>
  <c r="J594" i="1"/>
  <c r="I594" i="1"/>
  <c r="H595" i="1"/>
  <c r="H591" i="1" l="1"/>
  <c r="H592" i="1"/>
  <c r="H584" i="1"/>
  <c r="F502" i="1"/>
  <c r="G499" i="1"/>
  <c r="G498" i="1"/>
  <c r="F498" i="1"/>
  <c r="G215" i="1"/>
  <c r="G233" i="1"/>
  <c r="F472" i="1"/>
  <c r="F473" i="1"/>
  <c r="I243" i="1"/>
  <c r="I225" i="1"/>
  <c r="I207" i="1"/>
  <c r="H207" i="1"/>
  <c r="H243" i="1"/>
  <c r="H225" i="1"/>
  <c r="K204" i="1"/>
  <c r="I233" i="1"/>
  <c r="H233" i="1"/>
  <c r="H215" i="1"/>
  <c r="G240" i="1"/>
  <c r="G204" i="1"/>
  <c r="G222" i="1"/>
  <c r="G205" i="1"/>
  <c r="G209" i="1"/>
  <c r="G245" i="1"/>
  <c r="G227" i="1"/>
  <c r="G207" i="1"/>
  <c r="G243" i="1"/>
  <c r="G225" i="1"/>
  <c r="G242" i="1"/>
  <c r="G224" i="1"/>
  <c r="G206" i="1"/>
  <c r="G241" i="1"/>
  <c r="G223" i="1"/>
  <c r="G239" i="1"/>
  <c r="G221" i="1"/>
  <c r="G203" i="1"/>
  <c r="G238" i="1"/>
  <c r="G202" i="1"/>
  <c r="G220" i="1"/>
  <c r="G198" i="1"/>
  <c r="H209" i="1" l="1"/>
  <c r="H208" i="1"/>
  <c r="J207" i="1"/>
  <c r="J225" i="1"/>
  <c r="J242" i="1"/>
  <c r="J241" i="1"/>
  <c r="J224" i="1"/>
  <c r="J206" i="1"/>
  <c r="I205" i="1"/>
  <c r="I241" i="1"/>
  <c r="I223" i="1"/>
  <c r="H241" i="1"/>
  <c r="H223" i="1"/>
  <c r="H240" i="1"/>
  <c r="H222" i="1"/>
  <c r="H204" i="1"/>
  <c r="I240" i="1"/>
  <c r="I222" i="1"/>
  <c r="I204" i="1"/>
  <c r="I239" i="1"/>
  <c r="I221" i="1"/>
  <c r="H202" i="1"/>
  <c r="H220" i="1"/>
  <c r="K236" i="1"/>
  <c r="K218" i="1"/>
  <c r="H235" i="1"/>
  <c r="H216" i="1"/>
  <c r="K234" i="1"/>
  <c r="K216" i="1"/>
  <c r="K198" i="1"/>
  <c r="I197" i="1"/>
  <c r="I215" i="1"/>
  <c r="H197" i="1"/>
  <c r="J215" i="1"/>
  <c r="H221" i="1"/>
  <c r="H244" i="1"/>
  <c r="H226" i="1"/>
  <c r="J243" i="1"/>
  <c r="H242" i="1"/>
  <c r="H224" i="1"/>
  <c r="H206" i="1"/>
  <c r="I238" i="1"/>
  <c r="I220" i="1"/>
  <c r="H236" i="1"/>
  <c r="H218" i="1"/>
  <c r="I234" i="1"/>
  <c r="I216" i="1"/>
  <c r="J233" i="1"/>
  <c r="F50" i="1"/>
  <c r="F24" i="1"/>
  <c r="J468" i="1" l="1"/>
  <c r="F203" i="1" l="1"/>
  <c r="F239" i="1"/>
  <c r="F222" i="1"/>
  <c r="F221" i="1"/>
  <c r="K242" i="1"/>
  <c r="K224" i="1"/>
  <c r="K206" i="1"/>
  <c r="K205" i="1"/>
  <c r="K223" i="1"/>
  <c r="K241" i="1"/>
  <c r="K240" i="1"/>
  <c r="K222" i="1"/>
  <c r="K202" i="1"/>
  <c r="K220" i="1"/>
  <c r="K238" i="1"/>
  <c r="K197" i="1"/>
  <c r="J245" i="1"/>
  <c r="J238" i="1"/>
  <c r="J236" i="1"/>
  <c r="J234" i="1"/>
  <c r="J227" i="1"/>
  <c r="J223" i="1"/>
  <c r="J220" i="1"/>
  <c r="J218" i="1"/>
  <c r="J209" i="1"/>
  <c r="J205" i="1"/>
  <c r="J202" i="1"/>
  <c r="J198" i="1"/>
  <c r="J197" i="1"/>
  <c r="I245" i="1"/>
  <c r="I227" i="1"/>
  <c r="I209" i="1"/>
  <c r="I242" i="1"/>
  <c r="I224" i="1"/>
  <c r="I206" i="1"/>
  <c r="I236" i="1"/>
  <c r="I218" i="1"/>
  <c r="I203" i="1"/>
  <c r="I202" i="1"/>
  <c r="I198" i="1"/>
  <c r="H239" i="1" l="1"/>
  <c r="H245" i="1"/>
  <c r="H227" i="1"/>
  <c r="H205" i="1"/>
  <c r="H238" i="1"/>
  <c r="H234" i="1"/>
  <c r="H203" i="1"/>
  <c r="H198" i="1"/>
  <c r="G236" i="1"/>
  <c r="G218" i="1"/>
  <c r="F227" i="1"/>
  <c r="F245" i="1"/>
  <c r="F243" i="1"/>
  <c r="F242" i="1"/>
  <c r="F241" i="1"/>
  <c r="F240" i="1"/>
  <c r="F238" i="1"/>
  <c r="F236" i="1"/>
  <c r="F233" i="1"/>
  <c r="F225" i="1"/>
  <c r="F224" i="1"/>
  <c r="F223" i="1"/>
  <c r="F220" i="1"/>
  <c r="F218" i="1"/>
  <c r="F215" i="1"/>
  <c r="F209" i="1"/>
  <c r="F207" i="1"/>
  <c r="F206" i="1"/>
  <c r="F204" i="1"/>
  <c r="F202" i="1"/>
  <c r="F205" i="1"/>
  <c r="F30" i="1"/>
  <c r="F120" i="1" l="1"/>
  <c r="F126" i="1"/>
  <c r="F63" i="1"/>
  <c r="J324" i="1" l="1"/>
  <c r="J305" i="1"/>
  <c r="J281" i="1"/>
  <c r="I320" i="1"/>
  <c r="I301" i="1"/>
  <c r="I282" i="1"/>
  <c r="I279" i="1"/>
  <c r="I314" i="1"/>
  <c r="I295" i="1"/>
  <c r="I276" i="1"/>
  <c r="H324" i="1"/>
  <c r="H305" i="1"/>
  <c r="H286" i="1"/>
  <c r="H282" i="1"/>
  <c r="H320" i="1"/>
  <c r="H301" i="1"/>
  <c r="H326" i="1"/>
  <c r="H307" i="1"/>
  <c r="H319" i="1"/>
  <c r="H300" i="1"/>
  <c r="H281" i="1"/>
  <c r="H276" i="1"/>
  <c r="G320" i="1"/>
  <c r="G301" i="1"/>
  <c r="G282" i="1"/>
  <c r="G281" i="1"/>
  <c r="G276" i="1"/>
  <c r="F320" i="1"/>
  <c r="F301" i="1"/>
  <c r="F282" i="1"/>
  <c r="F281" i="1"/>
  <c r="F276" i="1"/>
  <c r="H159" i="1" l="1"/>
  <c r="H155" i="1"/>
  <c r="H154" i="1"/>
  <c r="H150" i="1"/>
  <c r="H48" i="1"/>
  <c r="G473" i="1" l="1"/>
  <c r="H368" i="1"/>
  <c r="G368" i="1"/>
  <c r="F368" i="1"/>
  <c r="H367" i="1"/>
  <c r="G367" i="1"/>
  <c r="F367" i="1"/>
  <c r="K360" i="1"/>
  <c r="K359" i="1"/>
  <c r="J360" i="1"/>
  <c r="J359" i="1"/>
  <c r="I360" i="1"/>
  <c r="I359" i="1"/>
  <c r="I358" i="1"/>
  <c r="H359" i="1"/>
  <c r="H358" i="1"/>
  <c r="G360" i="1"/>
  <c r="G359" i="1"/>
  <c r="G358" i="1"/>
  <c r="F360" i="1"/>
  <c r="F359" i="1"/>
  <c r="F358" i="1"/>
  <c r="G158" i="1"/>
  <c r="G132" i="1"/>
  <c r="G97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C114" i="2"/>
  <c r="E114" i="2"/>
  <c r="D115" i="2"/>
  <c r="F115" i="2"/>
  <c r="G115" i="2"/>
  <c r="E119" i="2"/>
  <c r="E120" i="2"/>
  <c r="E121" i="2"/>
  <c r="E122" i="2"/>
  <c r="E123" i="2"/>
  <c r="E124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G408" i="1" s="1"/>
  <c r="H645" i="1" s="1"/>
  <c r="H401" i="1"/>
  <c r="I401" i="1"/>
  <c r="I408" i="1" s="1"/>
  <c r="F407" i="1"/>
  <c r="G407" i="1"/>
  <c r="H407" i="1"/>
  <c r="I407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H641" i="1"/>
  <c r="G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L256" i="1"/>
  <c r="C26" i="10"/>
  <c r="L328" i="1"/>
  <c r="L351" i="1"/>
  <c r="A31" i="12"/>
  <c r="D18" i="13"/>
  <c r="C18" i="13" s="1"/>
  <c r="D17" i="13"/>
  <c r="C17" i="13" s="1"/>
  <c r="C91" i="2"/>
  <c r="F78" i="2"/>
  <c r="F81" i="2" s="1"/>
  <c r="F18" i="2"/>
  <c r="E103" i="2"/>
  <c r="D91" i="2"/>
  <c r="E62" i="2"/>
  <c r="E63" i="2" s="1"/>
  <c r="E31" i="2"/>
  <c r="D19" i="13"/>
  <c r="C19" i="13" s="1"/>
  <c r="E78" i="2"/>
  <c r="E81" i="2" s="1"/>
  <c r="H112" i="1"/>
  <c r="J641" i="1"/>
  <c r="J571" i="1"/>
  <c r="K571" i="1"/>
  <c r="L433" i="1"/>
  <c r="L419" i="1"/>
  <c r="I169" i="1"/>
  <c r="H476" i="1"/>
  <c r="H624" i="1" s="1"/>
  <c r="J624" i="1" s="1"/>
  <c r="G338" i="1"/>
  <c r="G352" i="1" s="1"/>
  <c r="J140" i="1"/>
  <c r="G22" i="2"/>
  <c r="H140" i="1"/>
  <c r="L393" i="1"/>
  <c r="F22" i="13"/>
  <c r="J640" i="1"/>
  <c r="H571" i="1"/>
  <c r="L560" i="1"/>
  <c r="G192" i="1"/>
  <c r="H192" i="1"/>
  <c r="C35" i="10"/>
  <c r="L570" i="1"/>
  <c r="I571" i="1"/>
  <c r="G36" i="2"/>
  <c r="C22" i="13"/>
  <c r="C138" i="2"/>
  <c r="F192" i="1" l="1"/>
  <c r="J545" i="1"/>
  <c r="G545" i="1"/>
  <c r="I552" i="1"/>
  <c r="L539" i="1"/>
  <c r="K549" i="1"/>
  <c r="L529" i="1"/>
  <c r="G552" i="1"/>
  <c r="H545" i="1"/>
  <c r="F552" i="1"/>
  <c r="K550" i="1"/>
  <c r="C11" i="10"/>
  <c r="L565" i="1"/>
  <c r="L571" i="1" s="1"/>
  <c r="A40" i="12"/>
  <c r="A13" i="12"/>
  <c r="K551" i="1"/>
  <c r="L524" i="1"/>
  <c r="H552" i="1"/>
  <c r="L534" i="1"/>
  <c r="L614" i="1"/>
  <c r="K598" i="1"/>
  <c r="G647" i="1" s="1"/>
  <c r="G161" i="2"/>
  <c r="K503" i="1"/>
  <c r="K500" i="1"/>
  <c r="J257" i="1"/>
  <c r="J271" i="1" s="1"/>
  <c r="J625" i="1"/>
  <c r="L382" i="1"/>
  <c r="G636" i="1" s="1"/>
  <c r="J636" i="1" s="1"/>
  <c r="C29" i="10"/>
  <c r="F130" i="2"/>
  <c r="F144" i="2" s="1"/>
  <c r="F145" i="2" s="1"/>
  <c r="F476" i="1"/>
  <c r="H622" i="1" s="1"/>
  <c r="J476" i="1"/>
  <c r="H626" i="1" s="1"/>
  <c r="J639" i="1"/>
  <c r="I460" i="1"/>
  <c r="I461" i="1" s="1"/>
  <c r="H642" i="1" s="1"/>
  <c r="I446" i="1"/>
  <c r="G642" i="1" s="1"/>
  <c r="J642" i="1" s="1"/>
  <c r="J645" i="1"/>
  <c r="L401" i="1"/>
  <c r="C139" i="2" s="1"/>
  <c r="J644" i="1"/>
  <c r="H25" i="13"/>
  <c r="K257" i="1"/>
  <c r="K271" i="1" s="1"/>
  <c r="C110" i="2"/>
  <c r="I257" i="1"/>
  <c r="I271" i="1" s="1"/>
  <c r="E16" i="13"/>
  <c r="C16" i="13" s="1"/>
  <c r="H647" i="1"/>
  <c r="G662" i="1"/>
  <c r="I662" i="1" s="1"/>
  <c r="C21" i="10"/>
  <c r="D15" i="13"/>
  <c r="C15" i="13" s="1"/>
  <c r="G649" i="1"/>
  <c r="J649" i="1" s="1"/>
  <c r="C124" i="2"/>
  <c r="H257" i="1"/>
  <c r="H271" i="1" s="1"/>
  <c r="C125" i="2"/>
  <c r="C123" i="2"/>
  <c r="D7" i="13"/>
  <c r="C7" i="13" s="1"/>
  <c r="G257" i="1"/>
  <c r="G271" i="1" s="1"/>
  <c r="D5" i="13"/>
  <c r="C5" i="13" s="1"/>
  <c r="C19" i="10"/>
  <c r="E8" i="13"/>
  <c r="C8" i="13" s="1"/>
  <c r="D6" i="13"/>
  <c r="C6" i="13" s="1"/>
  <c r="L247" i="1"/>
  <c r="H660" i="1" s="1"/>
  <c r="D14" i="13"/>
  <c r="C14" i="13" s="1"/>
  <c r="C20" i="10"/>
  <c r="C18" i="10"/>
  <c r="L229" i="1"/>
  <c r="C119" i="2"/>
  <c r="C13" i="10"/>
  <c r="F257" i="1"/>
  <c r="F271" i="1" s="1"/>
  <c r="C122" i="2"/>
  <c r="E13" i="13"/>
  <c r="C13" i="13" s="1"/>
  <c r="D12" i="13"/>
  <c r="C12" i="13" s="1"/>
  <c r="C121" i="2"/>
  <c r="C120" i="2"/>
  <c r="C118" i="2"/>
  <c r="L211" i="1"/>
  <c r="C109" i="2"/>
  <c r="C81" i="2"/>
  <c r="C62" i="2"/>
  <c r="C63" i="2" s="1"/>
  <c r="F112" i="1"/>
  <c r="C36" i="10" s="1"/>
  <c r="I52" i="1"/>
  <c r="H620" i="1" s="1"/>
  <c r="J620" i="1" s="1"/>
  <c r="J622" i="1"/>
  <c r="J617" i="1"/>
  <c r="L309" i="1"/>
  <c r="J338" i="1"/>
  <c r="J352" i="1" s="1"/>
  <c r="E112" i="2"/>
  <c r="E109" i="2"/>
  <c r="E115" i="2" s="1"/>
  <c r="E125" i="2"/>
  <c r="C17" i="10"/>
  <c r="E118" i="2"/>
  <c r="H338" i="1"/>
  <c r="H352" i="1" s="1"/>
  <c r="F338" i="1"/>
  <c r="F352" i="1" s="1"/>
  <c r="C16" i="10"/>
  <c r="C15" i="10"/>
  <c r="L290" i="1"/>
  <c r="C10" i="10"/>
  <c r="H52" i="1"/>
  <c r="H619" i="1" s="1"/>
  <c r="J619" i="1" s="1"/>
  <c r="G476" i="1"/>
  <c r="H623" i="1" s="1"/>
  <c r="J623" i="1" s="1"/>
  <c r="J634" i="1"/>
  <c r="G661" i="1"/>
  <c r="D29" i="13"/>
  <c r="C29" i="13" s="1"/>
  <c r="D127" i="2"/>
  <c r="D128" i="2" s="1"/>
  <c r="D145" i="2" s="1"/>
  <c r="H661" i="1"/>
  <c r="L362" i="1"/>
  <c r="C27" i="10" s="1"/>
  <c r="F661" i="1"/>
  <c r="D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C104" i="2" l="1"/>
  <c r="K552" i="1"/>
  <c r="L545" i="1"/>
  <c r="J647" i="1"/>
  <c r="L408" i="1"/>
  <c r="G637" i="1" s="1"/>
  <c r="J637" i="1" s="1"/>
  <c r="C141" i="2"/>
  <c r="C144" i="2" s="1"/>
  <c r="C25" i="13"/>
  <c r="H33" i="13"/>
  <c r="C115" i="2"/>
  <c r="E33" i="13"/>
  <c r="D35" i="13" s="1"/>
  <c r="G660" i="1"/>
  <c r="G664" i="1" s="1"/>
  <c r="G667" i="1" s="1"/>
  <c r="L257" i="1"/>
  <c r="L271" i="1" s="1"/>
  <c r="G632" i="1" s="1"/>
  <c r="J632" i="1" s="1"/>
  <c r="C128" i="2"/>
  <c r="F193" i="1"/>
  <c r="G627" i="1" s="1"/>
  <c r="J627" i="1" s="1"/>
  <c r="D31" i="13"/>
  <c r="C31" i="13" s="1"/>
  <c r="H648" i="1"/>
  <c r="J648" i="1" s="1"/>
  <c r="E128" i="2"/>
  <c r="E145" i="2" s="1"/>
  <c r="F660" i="1"/>
  <c r="L338" i="1"/>
  <c r="L352" i="1" s="1"/>
  <c r="G633" i="1" s="1"/>
  <c r="J633" i="1" s="1"/>
  <c r="C28" i="10"/>
  <c r="D23" i="10" s="1"/>
  <c r="I661" i="1"/>
  <c r="H664" i="1"/>
  <c r="H667" i="1" s="1"/>
  <c r="G635" i="1"/>
  <c r="J635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C145" i="2"/>
  <c r="I660" i="1"/>
  <c r="I664" i="1" s="1"/>
  <c r="I672" i="1" s="1"/>
  <c r="C7" i="10" s="1"/>
  <c r="F664" i="1"/>
  <c r="F672" i="1" s="1"/>
  <c r="C4" i="10" s="1"/>
  <c r="H672" i="1"/>
  <c r="C6" i="10" s="1"/>
  <c r="D25" i="10"/>
  <c r="D20" i="10"/>
  <c r="D13" i="10"/>
  <c r="D21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G672" i="1"/>
  <c r="C5" i="10" s="1"/>
  <c r="C41" i="10"/>
  <c r="D38" i="10" s="1"/>
  <c r="H656" i="1" l="1"/>
  <c r="F667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<sst xmlns="http://schemas.openxmlformats.org/spreadsheetml/2006/main" count="3961" uniqueCount="919">
  <si>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</si>
  <si>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</si>
  <si>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</si>
  <si>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</si>
  <si>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</si>
  <si>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</si>
  <si>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</si>
  <si>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</si>
  <si>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</si>
  <si>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</si>
  <si>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</si>
  <si>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</si>
  <si>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</si>
  <si>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</si>
  <si>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</si>
  <si>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</si>
  <si>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</si>
  <si>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</si>
  <si>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</si>
  <si>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</si>
  <si>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</si>
  <si>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</si>
  <si>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</si>
  <si>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</si>
  <si>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</si>
  <si>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</si>
  <si>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</si>
  <si>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</si>
  <si>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</si>
  <si>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</si>
  <si>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</si>
  <si>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</si>
  <si>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</si>
  <si>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</si>
  <si>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</si>
  <si>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</si>
  <si>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</si>
  <si>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</si>
  <si>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</si>
  <si>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</si>
  <si>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</si>
  <si>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</si>
  <si>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</si>
  <si>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</si>
  <si>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</si>
  <si>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</si>
  <si>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</si>
  <si>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</si>
  <si>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</si>
  <si>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</si>
  <si>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</si>
  <si>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</si>
  <si>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</si>
  <si>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</si>
  <si>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</si>
  <si>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</si>
  <si>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</si>
  <si>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</si>
  <si>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</si>
  <si>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</si>
  <si>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</si>
  <si>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</si>
  <si>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</si>
  <si>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</si>
  <si>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</si>
  <si>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</si>
  <si>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</si>
  <si>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</si>
  <si>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</si>
  <si>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</si>
  <si>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</si>
  <si>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</si>
  <si>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</si>
  <si>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</si>
  <si>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</si>
  <si>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</si>
  <si>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</si>
  <si>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</si>
  <si>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</si>
  <si>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</si>
  <si>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</si>
  <si>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</si>
  <si>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</si>
  <si>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</si>
  <si>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</si>
  <si>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</si>
  <si>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</si>
  <si>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</si>
  <si>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</si>
  <si>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</si>
  <si>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</si>
  <si>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</si>
  <si>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</si>
  <si>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</si>
  <si>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</si>
  <si>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</si>
  <si>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</si>
  <si>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</si>
  <si>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</si>
  <si>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</si>
  <si>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</si>
  <si>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</si>
  <si>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</si>
  <si>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</si>
  <si>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</si>
  <si>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</si>
  <si>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</si>
  <si>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</si>
  <si>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</si>
  <si>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</si>
  <si>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</si>
  <si>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</si>
  <si>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</si>
  <si>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</si>
  <si>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</si>
  <si>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</si>
  <si>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</si>
  <si>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</si>
  <si>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</si>
  <si>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</si>
  <si>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</si>
  <si>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</si>
  <si>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</si>
  <si>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</si>
  <si>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</si>
  <si>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</si>
  <si>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</si>
  <si>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</si>
  <si>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</si>
  <si>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</si>
  <si>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</si>
  <si>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</si>
  <si>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</si>
  <si>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</si>
  <si>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</si>
  <si>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</si>
  <si>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</si>
  <si>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</si>
  <si>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</si>
  <si>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</si>
  <si>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</si>
  <si>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</si>
  <si>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</si>
  <si>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</si>
  <si>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</si>
  <si>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</si>
  <si>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</si>
  <si>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</si>
  <si>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</si>
  <si>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</si>
  <si>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</si>
  <si>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</si>
  <si>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</si>
  <si>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</si>
  <si>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</si>
  <si>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</si>
  <si>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</si>
  <si>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</si>
  <si>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</si>
  <si>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</si>
  <si>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</si>
  <si>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</si>
  <si>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</si>
  <si>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</si>
  <si>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</si>
  <si>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</si>
  <si>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</si>
  <si>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</si>
  <si>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</si>
  <si>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</si>
  <si>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</si>
  <si>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</si>
  <si>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</si>
  <si>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</si>
  <si>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</si>
  <si>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</si>
  <si>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</si>
  <si>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</si>
  <si>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</si>
  <si>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</si>
  <si>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</si>
  <si>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</si>
  <si>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</si>
  <si>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</si>
  <si>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</si>
  <si>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</si>
  <si>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</si>
  <si>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</si>
  <si>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</si>
  <si>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</si>
  <si>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</si>
  <si>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</si>
  <si>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</si>
  <si>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</si>
  <si>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</si>
  <si>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</si>
  <si>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</si>
  <si>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</si>
  <si>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</si>
  <si>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</si>
  <si>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</si>
  <si>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</si>
  <si>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</si>
  <si>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</si>
  <si>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</si>
  <si>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</si>
  <si>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</si>
  <si>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</si>
  <si>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</si>
  <si>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</si>
  <si>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</si>
  <si>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</si>
  <si>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</si>
  <si>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</si>
  <si>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</si>
  <si>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</si>
  <si>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</si>
  <si>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</si>
  <si>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</si>
  <si>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</si>
  <si>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</si>
  <si>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</si>
  <si>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</si>
  <si>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</si>
  <si>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</si>
  <si>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</si>
  <si>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</si>
  <si>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</si>
  <si>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</si>
  <si>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</si>
  <si>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</si>
  <si>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</si>
  <si>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</si>
  <si>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</si>
  <si>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</si>
  <si>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</si>
  <si>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</si>
  <si>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</si>
  <si>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</si>
  <si>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</si>
  <si>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</si>
  <si>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</si>
  <si>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</si>
  <si>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</si>
  <si>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</si>
  <si>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</si>
  <si>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</si>
  <si>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</si>
  <si>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</si>
  <si>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</si>
  <si>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</si>
  <si>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</si>
  <si>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</si>
  <si>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</si>
  <si>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</si>
  <si>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</si>
  <si>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</si>
  <si>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</si>
  <si>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</si>
  <si>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</si>
  <si>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</si>
  <si>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</si>
  <si>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</si>
  <si>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</si>
  <si>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</si>
  <si>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</si>
  <si>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</si>
  <si>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</si>
  <si>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</si>
  <si>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</si>
  <si>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</si>
  <si>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</si>
  <si>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</si>
  <si>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</si>
  <si>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</si>
  <si>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</si>
  <si>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</si>
  <si>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</si>
  <si>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</si>
  <si>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</si>
  <si>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</si>
  <si>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</si>
  <si>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</si>
  <si>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</si>
  <si>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</si>
  <si>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</si>
  <si>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</si>
  <si>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</si>
  <si>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</si>
  <si>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</si>
  <si>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</si>
  <si>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</si>
  <si>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</si>
  <si>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</si>
  <si>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</si>
  <si>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</si>
  <si>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</si>
  <si>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</si>
  <si>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</si>
  <si>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</si>
  <si>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</si>
  <si>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</si>
  <si>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</si>
  <si>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</si>
  <si>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</si>
  <si>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</si>
  <si>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</si>
  <si>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</si>
  <si>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</si>
  <si>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</si>
  <si>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</si>
  <si>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</si>
  <si>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</si>
  <si>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</si>
  <si>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</si>
  <si>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</si>
  <si>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</si>
  <si>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</si>
  <si>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</si>
  <si>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</si>
  <si>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</si>
  <si>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</si>
  <si>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</si>
  <si>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</si>
  <si>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</si>
  <si>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</si>
  <si>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</si>
  <si>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</si>
  <si>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</si>
  <si>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</si>
  <si>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</si>
  <si>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</si>
  <si>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</si>
  <si>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</si>
  <si>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</si>
  <si>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</si>
  <si>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</si>
  <si>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</si>
  <si>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</si>
  <si>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</si>
  <si>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</si>
  <si>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</si>
  <si>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</si>
  <si>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</si>
  <si>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</si>
  <si>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</si>
  <si>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</si>
  <si>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</si>
  <si>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</si>
  <si>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</si>
  <si>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</si>
  <si>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</si>
  <si>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</si>
  <si>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</si>
  <si>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</si>
  <si>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</si>
  <si>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</si>
  <si>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</si>
  <si>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</si>
  <si>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</si>
  <si>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</si>
  <si>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</si>
  <si>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</si>
  <si>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</si>
  <si>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</si>
  <si>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</si>
  <si>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</si>
  <si>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</si>
  <si>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</si>
  <si>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</si>
  <si>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</si>
  <si>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</si>
  <si>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</si>
  <si>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</si>
  <si>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</si>
  <si>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</si>
  <si>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</si>
  <si>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</si>
  <si>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</si>
  <si>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</si>
  <si>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</si>
  <si>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</si>
  <si>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</si>
  <si>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</si>
  <si>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</si>
  <si>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</si>
  <si>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</si>
  <si>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</si>
  <si>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</si>
  <si>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</si>
  <si>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</si>
  <si>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</si>
  <si>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</si>
  <si>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</si>
  <si>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</si>
  <si>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</si>
  <si>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</si>
  <si>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</si>
  <si>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</si>
  <si>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</si>
  <si>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</si>
  <si>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</si>
  <si>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</si>
  <si>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</si>
  <si>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</si>
  <si>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</si>
  <si>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</si>
  <si>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</si>
  <si>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</si>
  <si>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</si>
  <si>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</si>
  <si>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</si>
  <si>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</si>
  <si>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</si>
  <si>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</si>
  <si>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</si>
  <si>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</si>
  <si>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</si>
  <si>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</si>
  <si>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</si>
  <si>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</si>
  <si>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</si>
  <si>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</si>
  <si>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</si>
  <si>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</si>
  <si>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</si>
  <si>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</si>
  <si>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</si>
  <si>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</si>
  <si>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</si>
  <si>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</si>
  <si>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</si>
  <si>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</si>
  <si>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</si>
  <si>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</si>
  <si>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</si>
  <si>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</si>
  <si>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</si>
  <si>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</si>
  <si>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</si>
  <si>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</si>
  <si>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</si>
  <si>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</si>
  <si>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</si>
  <si>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</si>
  <si>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</si>
  <si>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</si>
  <si>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</si>
  <si>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</si>
  <si>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</si>
  <si>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</si>
  <si>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</si>
  <si>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</si>
  <si>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</si>
  <si>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</si>
  <si>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</si>
  <si>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</si>
  <si>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</si>
  <si>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</si>
  <si>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</si>
  <si>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</si>
  <si>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</si>
  <si>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</si>
  <si>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</si>
  <si>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</si>
  <si>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</si>
  <si>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</si>
  <si>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</si>
  <si>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</si>
  <si>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</si>
  <si>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</si>
  <si>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</si>
  <si>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</si>
  <si>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</si>
  <si>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</si>
  <si>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</si>
  <si>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</si>
  <si>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</si>
  <si>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</si>
  <si>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</si>
  <si>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</si>
  <si>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</si>
  <si>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</si>
  <si>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</si>
  <si>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</si>
  <si>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</si>
  <si>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</si>
  <si>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</si>
  <si>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</si>
  <si>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</si>
  <si>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</si>
  <si>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</si>
  <si>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</si>
  <si>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</si>
  <si>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</si>
  <si>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</si>
  <si>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</si>
  <si>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</si>
  <si>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</si>
  <si>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</si>
  <si>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</si>
  <si>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</si>
  <si>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</si>
  <si>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</si>
  <si>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</si>
  <si>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</si>
  <si>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</si>
  <si>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</si>
  <si>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</si>
  <si>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</si>
  <si>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</si>
  <si>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</si>
  <si>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</si>
  <si>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</si>
  <si>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</si>
  <si>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</si>
  <si>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</si>
  <si>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</si>
  <si>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</si>
  <si>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</si>
  <si>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</si>
  <si>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</si>
  <si>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</si>
  <si>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</si>
  <si>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</si>
  <si>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</si>
  <si>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</si>
  <si>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</si>
  <si>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</si>
  <si>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</si>
  <si>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</si>
  <si>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</si>
  <si>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</si>
  <si>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</si>
  <si>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</si>
  <si>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</si>
  <si>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</si>
  <si>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</si>
  <si>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</si>
  <si>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</si>
  <si>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</si>
  <si>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</si>
  <si>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</si>
  <si>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</si>
  <si>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</si>
  <si>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</si>
  <si>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</si>
  <si>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</si>
  <si>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</si>
  <si>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</si>
  <si>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</si>
  <si>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</si>
  <si>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</si>
  <si>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</si>
  <si>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</si>
  <si>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</si>
  <si>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</si>
  <si>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</si>
  <si>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</si>
  <si>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</si>
  <si>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</si>
  <si>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</si>
  <si>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</si>
  <si>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</si>
  <si>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</si>
  <si>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</si>
  <si>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</si>
  <si>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</si>
  <si>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</si>
  <si>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</si>
  <si>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</si>
  <si>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</si>
  <si>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</si>
  <si>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</si>
  <si>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</si>
  <si>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</si>
  <si>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</si>
  <si>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</si>
  <si>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</si>
  <si>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</si>
  <si>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</si>
  <si>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</si>
  <si>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</si>
  <si>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</si>
  <si>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</si>
  <si>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</si>
  <si>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</si>
  <si>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</si>
  <si>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</si>
  <si>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</si>
  <si>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</si>
  <si>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</si>
  <si>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</si>
  <si>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</si>
  <si>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</si>
  <si>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</si>
  <si>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</si>
  <si>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</si>
  <si>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</si>
  <si>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</si>
  <si>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</si>
  <si>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</si>
  <si>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</si>
  <si>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</si>
  <si>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</si>
  <si>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</si>
  <si>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</si>
  <si>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</si>
  <si>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</si>
  <si>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</si>
  <si>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</si>
  <si>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</si>
  <si>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</si>
  <si>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</si>
  <si>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</si>
  <si>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</si>
  <si>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</si>
  <si>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</si>
  <si>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</si>
  <si>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</si>
  <si>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</si>
  <si>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</si>
  <si>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</si>
  <si>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</si>
  <si>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</si>
  <si>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</si>
  <si>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</si>
  <si>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</si>
  <si>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</si>
  <si>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</si>
  <si>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</si>
  <si>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</si>
  <si>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</si>
  <si>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</si>
  <si>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</si>
  <si>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</si>
  <si>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</si>
  <si>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</si>
  <si>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</si>
  <si>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</si>
  <si>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</si>
  <si>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</si>
  <si>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</si>
  <si>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</si>
  <si>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</si>
  <si>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</si>
  <si>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</si>
  <si>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</si>
  <si>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</si>
  <si>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</si>
  <si>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</si>
  <si>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</si>
  <si>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</si>
  <si>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</si>
  <si>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</si>
  <si>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</si>
  <si>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</si>
  <si>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</si>
  <si>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</si>
  <si>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</si>
  <si>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</si>
  <si>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</si>
  <si>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</si>
  <si>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</si>
  <si>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</si>
  <si>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</si>
  <si>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</si>
  <si>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</si>
  <si>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</si>
  <si>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</si>
  <si>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</si>
  <si>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</si>
  <si>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</si>
  <si>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</si>
  <si>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</si>
  <si>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</si>
  <si>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</si>
  <si>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</si>
  <si>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</si>
  <si>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</si>
  <si>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</si>
  <si>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</si>
  <si>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</si>
  <si>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</si>
  <si>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</si>
  <si>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</si>
  <si>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</si>
  <si>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</si>
  <si>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</si>
  <si>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</si>
  <si>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</si>
  <si>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</si>
  <si>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</si>
  <si>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</si>
  <si>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</si>
  <si>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</si>
  <si>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</si>
  <si>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</si>
  <si>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</si>
  <si>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</si>
  <si>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</si>
  <si>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</si>
  <si>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</si>
  <si>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</si>
  <si>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</si>
  <si>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</si>
  <si>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</si>
  <si>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</si>
  <si>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</si>
  <si>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</si>
  <si>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</si>
  <si>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</si>
  <si>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</si>
  <si>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</si>
  <si>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</si>
  <si>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</si>
  <si>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</si>
  <si>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</si>
  <si>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</si>
  <si>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</si>
  <si>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</si>
  <si>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</si>
  <si>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</si>
  <si>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</si>
  <si>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</si>
  <si>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</si>
  <si>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</si>
  <si>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</si>
  <si>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</si>
  <si>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</si>
  <si>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</si>
  <si>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</si>
  <si>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</si>
  <si>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</si>
  <si>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</si>
  <si>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</si>
  <si>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</si>
  <si>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</si>
  <si>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</si>
  <si>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</si>
  <si>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</si>
  <si>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</si>
  <si>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</si>
  <si>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</si>
  <si>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</si>
  <si>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</si>
  <si>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</si>
  <si>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</si>
  <si>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</si>
  <si>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</si>
  <si>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</si>
  <si>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</si>
  <si>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</si>
  <si>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</si>
  <si>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</si>
  <si>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</si>
  <si>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</si>
  <si>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</si>
  <si>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</si>
  <si>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</si>
  <si>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</si>
  <si>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</si>
  <si>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</si>
  <si>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</si>
  <si>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</si>
  <si>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</si>
  <si>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</si>
  <si>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</si>
  <si>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</si>
  <si>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</si>
  <si>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</si>
  <si>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</si>
  <si>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</si>
  <si>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</si>
  <si>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</si>
  <si>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</si>
  <si>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</si>
  <si>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</si>
  <si>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</si>
  <si>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</si>
  <si>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</si>
  <si>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</si>
  <si>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</si>
  <si>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</si>
  <si>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</si>
  <si>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</si>
  <si>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</si>
  <si>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</si>
  <si>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</si>
  <si>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</si>
  <si>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</si>
  <si>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</si>
  <si>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</si>
  <si>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</si>
  <si>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</si>
  <si>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</si>
  <si>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</si>
  <si>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</si>
  <si>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</si>
  <si>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</si>
  <si>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</si>
  <si>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</si>
  <si>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</si>
  <si>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</si>
  <si>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</si>
  <si>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</si>
  <si>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</si>
  <si>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</si>
  <si>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</si>
  <si>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</si>
  <si>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</si>
  <si>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</si>
  <si>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</si>
  <si>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</si>
  <si>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</si>
  <si>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</si>
  <si>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</si>
  <si>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</si>
  <si>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</si>
  <si>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</si>
  <si>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</si>
  <si>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</si>
  <si>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</si>
  <si>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</si>
  <si>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</si>
  <si>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</si>
  <si>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</si>
  <si>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</si>
  <si>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</si>
  <si>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</si>
  <si>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</si>
  <si>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</si>
  <si>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</si>
  <si>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</si>
  <si>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</si>
  <si>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</si>
  <si>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</si>
  <si>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</si>
  <si>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</si>
  <si>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</si>
  <si>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</si>
  <si>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</si>
  <si>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</si>
  <si>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</si>
  <si>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</si>
  <si>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</si>
  <si>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</si>
  <si>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</si>
  <si>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</si>
  <si>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</si>
  <si>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</si>
  <si>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</si>
  <si>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</si>
  <si>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</si>
  <si>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</si>
  <si>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</si>
  <si>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</si>
  <si>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</si>
  <si>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</si>
  <si>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</si>
  <si>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</si>
  <si>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</si>
  <si>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</si>
  <si>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</si>
  <si>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</si>
  <si>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</si>
  <si>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</si>
  <si>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</si>
  <si>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</si>
  <si>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</si>
  <si>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</si>
  <si>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</si>
  <si>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</si>
  <si>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</si>
  <si>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</si>
  <si>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</si>
  <si>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</si>
  <si>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</si>
  <si>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</si>
  <si>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</si>
  <si>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</si>
  <si>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</si>
  <si>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</si>
  <si>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</si>
  <si>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</si>
  <si>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</si>
  <si>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</si>
  <si>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</si>
  <si>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</si>
  <si>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</si>
  <si>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</si>
  <si>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</si>
  <si>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</si>
  <si>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</si>
  <si>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</si>
  <si>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</si>
  <si>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</si>
  <si>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</si>
  <si>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</si>
  <si>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</si>
  <si>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</si>
  <si>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</si>
  <si>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</si>
  <si>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</si>
  <si>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</si>
  <si>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</si>
  <si>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</si>
  <si>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</si>
  <si>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</si>
  <si>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</si>
  <si>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</si>
  <si>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</si>
  <si>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Wilton-Lyndeborough Cooperative School District</t>
  </si>
  <si>
    <t>Fund 70 py expense not reported</t>
  </si>
  <si>
    <t>Fund 21 py deficit adjusted in current year</t>
  </si>
  <si>
    <t>07/99</t>
  </si>
  <si>
    <t>07/14</t>
  </si>
  <si>
    <t>08/19</t>
  </si>
  <si>
    <t>08/34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</si>
</sst>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1158472.74</v>
      </c>
      <c r="G9" s="18">
        <v>11120</v>
      </c>
      <c r="H9" s="18"/>
      <c r="I9" s="18">
        <v>279550.65999999997</v>
      </c>
      <c r="J9" s="67">
        <f>SUM(I439)</f>
        <v>491151.2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75752.649999999994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0.33</v>
      </c>
      <c r="G13" s="18">
        <v>13212.18</v>
      </c>
      <c r="H13" s="18">
        <v>20901.79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34837.68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8197.4599999999991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5709.34</v>
      </c>
      <c r="G17" s="18">
        <v>1741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1274772.74</v>
      </c>
      <c r="G19" s="41">
        <f>SUM(G9:G18)</f>
        <v>34270.639999999999</v>
      </c>
      <c r="H19" s="41">
        <f>SUM(H9:H18)</f>
        <v>20901.79</v>
      </c>
      <c r="I19" s="41">
        <f>SUM(I9:I18)</f>
        <v>279550.65999999997</v>
      </c>
      <c r="J19" s="41">
        <f>SUM(J9:J18)</f>
        <v>491151.2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30481.61</v>
      </c>
      <c r="H22" s="18">
        <v>19663.150000000001</v>
      </c>
      <c r="I22" s="18">
        <v>25607.89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7499.99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304551.29</f>
        <v>304551.28999999998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>
        <v>3345.53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30231.62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569779.33</f>
        <v>569779.32999999996</v>
      </c>
      <c r="G30" s="18">
        <v>3210.79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912062.23</v>
      </c>
      <c r="G32" s="41">
        <f>SUM(G22:G31)</f>
        <v>33692.400000000001</v>
      </c>
      <c r="H32" s="41">
        <f>SUM(H22:H31)</f>
        <v>19663.150000000001</v>
      </c>
      <c r="I32" s="41">
        <f>SUM(I22:I31)</f>
        <v>28953.42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8197.4599999999991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191716.82</v>
      </c>
      <c r="G43" s="18"/>
      <c r="H43" s="18"/>
      <c r="I43" s="18"/>
      <c r="J43" s="13">
        <f>SUM(I456)</f>
        <v>491151.2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-7619.22</v>
      </c>
      <c r="H48" s="18">
        <f>2933.44-1694.8</f>
        <v>1238.6400000000001</v>
      </c>
      <c r="I48" s="18">
        <v>250597.24</v>
      </c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303049.17-132055.48</f>
        <v>170993.68999999997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362710.51</v>
      </c>
      <c r="G51" s="41">
        <f>SUM(G35:G50)</f>
        <v>578.23999999999887</v>
      </c>
      <c r="H51" s="41">
        <f>SUM(H35:H50)</f>
        <v>1238.6400000000001</v>
      </c>
      <c r="I51" s="41">
        <f>SUM(I35:I50)</f>
        <v>250597.24</v>
      </c>
      <c r="J51" s="41">
        <f>SUM(J35:J50)</f>
        <v>491151.2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1274772.74</v>
      </c>
      <c r="G52" s="41">
        <f>G51+G32</f>
        <v>34270.639999999999</v>
      </c>
      <c r="H52" s="41">
        <f>H51+H32</f>
        <v>20901.79</v>
      </c>
      <c r="I52" s="41">
        <f>I51+I32</f>
        <v>279550.65999999997</v>
      </c>
      <c r="J52" s="41">
        <f>J51+J32</f>
        <v>491151.2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8432534+7500</f>
        <v>8440034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8440034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9750+30884.48</f>
        <v>40634.479999999996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40634.479999999996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4288.58</v>
      </c>
      <c r="G96" s="18"/>
      <c r="H96" s="18"/>
      <c r="I96" s="18"/>
      <c r="J96" s="18">
        <v>2189.08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93386.3+7827.35+144+2654.3+186.85+1498.3</f>
        <v>105697.10000000002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1215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6530.63</v>
      </c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38250.76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16753.419999999998</v>
      </c>
      <c r="G110" s="18"/>
      <c r="H110" s="18">
        <v>2033</v>
      </c>
      <c r="I110" s="18">
        <v>17740</v>
      </c>
      <c r="J110" s="18">
        <v>545.46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60507.76</v>
      </c>
      <c r="G111" s="41">
        <f>SUM(G96:G110)</f>
        <v>112227.73000000003</v>
      </c>
      <c r="H111" s="41">
        <f>SUM(H96:H110)</f>
        <v>2033</v>
      </c>
      <c r="I111" s="41">
        <f>SUM(I96:I110)</f>
        <v>17740</v>
      </c>
      <c r="J111" s="41">
        <f>SUM(J96:J110)</f>
        <v>2734.54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8541176.2400000002</v>
      </c>
      <c r="G112" s="41">
        <f>G60+G111</f>
        <v>112227.73000000003</v>
      </c>
      <c r="H112" s="41">
        <f>H60+H79+H94+H111</f>
        <v>2033</v>
      </c>
      <c r="I112" s="41">
        <f>I60+I111</f>
        <v>17740</v>
      </c>
      <c r="J112" s="41">
        <f>J60+J111</f>
        <v>2734.54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1331541.8799999999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1226351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f>884.82-0.01</f>
        <v>884.81000000000006</v>
      </c>
      <c r="G120" s="18"/>
      <c r="H120" s="18">
        <v>300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2558777.69</v>
      </c>
      <c r="G121" s="41">
        <f>SUM(G117:G120)</f>
        <v>0</v>
      </c>
      <c r="H121" s="41">
        <f>SUM(H117:H120)</f>
        <v>300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f>131536.38+0.01</f>
        <v>131536.39000000001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2018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2389.08+484.35</f>
        <v>2873.43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263554.39</v>
      </c>
      <c r="G136" s="41">
        <f>SUM(G123:G135)</f>
        <v>2873.43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2822332.08</v>
      </c>
      <c r="G140" s="41">
        <f>G121+SUM(G136:G137)</f>
        <v>2873.43</v>
      </c>
      <c r="H140" s="41">
        <f>H121+SUM(H136:H139)</f>
        <v>300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2747.4+3156.24</f>
        <v>5903.6399999999994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4165+98339.08+3750</f>
        <v>106254.08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3432.28+4861.57+2550.8+38974.07</f>
        <v>49818.720000000001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62757.4+21650.44+229.11+433.37</f>
        <v>85070.319999999992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135008.03+2304</f>
        <v>137312.03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83659.55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13189.57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83659.55</v>
      </c>
      <c r="G162" s="41">
        <f>SUM(G150:G161)</f>
        <v>98259.889999999985</v>
      </c>
      <c r="H162" s="41">
        <f>SUM(H150:H161)</f>
        <v>299288.46999999997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83659.55</v>
      </c>
      <c r="G169" s="41">
        <f>G147+G162+SUM(G163:G168)</f>
        <v>98259.889999999985</v>
      </c>
      <c r="H169" s="41">
        <f>H147+H162+SUM(H163:H168)</f>
        <v>299288.46999999997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28088.48</v>
      </c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-7500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-7500</v>
      </c>
      <c r="G183" s="41">
        <f>SUM(G179:G182)</f>
        <v>28088.48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164200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164200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156700</v>
      </c>
      <c r="G192" s="41">
        <f>G183+SUM(G188:G191)</f>
        <v>28088.48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11603867.870000001</v>
      </c>
      <c r="G193" s="47">
        <f>G112+G140+G169+G192</f>
        <v>241449.53</v>
      </c>
      <c r="H193" s="47">
        <f>H112+H140+H169+H192</f>
        <v>301621.46999999997</v>
      </c>
      <c r="I193" s="47">
        <f>I112+I140+I169+I192</f>
        <v>17740</v>
      </c>
      <c r="J193" s="47">
        <f>J112+J140+J192</f>
        <v>202734.54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925748.45+79325+42838.36+74158.57+21414.5+5330-2800</f>
        <v>1146014.8799999999</v>
      </c>
      <c r="G197" s="18">
        <f>485770.05+57214.43+15544.84+28744.57+1638.31+414.99+4-214.2-438.76</f>
        <v>588678.23</v>
      </c>
      <c r="H197" s="18">
        <f>11214.46+157.66+1311.48-188.75</f>
        <v>12494.849999999999</v>
      </c>
      <c r="I197" s="18">
        <f>55953.71+37.4+10953.46+5927.56+2740.35-97.25</f>
        <v>75515.23000000001</v>
      </c>
      <c r="J197" s="18">
        <f>2085.63+10657.69+494.99+7186.84</f>
        <v>20425.150000000001</v>
      </c>
      <c r="K197" s="18">
        <f>90</f>
        <v>90</v>
      </c>
      <c r="L197" s="19">
        <f>SUM(F197:K197)</f>
        <v>1843218.3399999999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141117+57297.55+153086.12+27105.16+9790.33+687.88</f>
        <v>389084.04</v>
      </c>
      <c r="G198" s="18">
        <f>77076.94+21104.59+27271.68+6735.42+1723.18+68.69+25.38</f>
        <v>134005.88</v>
      </c>
      <c r="H198" s="18">
        <f>5244.63+2170.42</f>
        <v>7415.05</v>
      </c>
      <c r="I198" s="18">
        <f>1274.78+807.4</f>
        <v>2082.1799999999998</v>
      </c>
      <c r="J198" s="18">
        <f>973.39+1128.88</f>
        <v>2102.27</v>
      </c>
      <c r="K198" s="18">
        <f>7528.74*0.471-(1570.8*0.471)-(1358.17)*0.47</f>
        <v>2167.8498399999999</v>
      </c>
      <c r="L198" s="19">
        <f>SUM(F198:K198)</f>
        <v>536857.26984000008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62750+46974.36+37796+85427+9367.4+3175.2+630+(168045.06+2596.23)*0.471</f>
        <v>326492.00758999999</v>
      </c>
      <c r="G202" s="18">
        <f>6.87*2+28437.77+35598.2+8690.78+33815.78+4796.6+597.57+118.56+(81655.43+488.61)*0.471</f>
        <v>150758.84284</v>
      </c>
      <c r="H202" s="18">
        <f>3025+182+120+60+720+430+4070+1500+1500+657.49+46303.29+11650+3432+2701+23923.9+15900.05+9001.2+6720+218.95-307.5-2995</f>
        <v>128812.38</v>
      </c>
      <c r="I202" s="18">
        <f>894.59+2700.54+302.25+117.1+721.83+994.03+112.2</f>
        <v>5842.54</v>
      </c>
      <c r="J202" s="18">
        <f>575.67+231</f>
        <v>806.67</v>
      </c>
      <c r="K202" s="18">
        <f>169+45</f>
        <v>214</v>
      </c>
      <c r="L202" s="19">
        <f t="shared" ref="L202:L208" si="0">SUM(F202:K202)</f>
        <v>612926.44043000008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(66050+53164.95)*0.471+11437.03</f>
        <v>67587.27145</v>
      </c>
      <c r="G203" s="18">
        <f>7941.23+296+4730.99+2704.23+554.95+1432.64+(23578.2+33494.18)*0.471-939</f>
        <v>43602.130980000002</v>
      </c>
      <c r="H203" s="18">
        <f>(1014.1+1718.59)*0.471+2231.03</f>
        <v>3518.1269900000002</v>
      </c>
      <c r="I203" s="18">
        <f>2269.4+352.67</f>
        <v>2622.07</v>
      </c>
      <c r="J203" s="18"/>
      <c r="K203" s="18"/>
      <c r="L203" s="19">
        <f t="shared" si="0"/>
        <v>117329.59942000001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125*2+250*2+875*2+300*0.471+(161995.86+1740.38)*0.471+(117098.39+844.06)*0.471</f>
        <v>135311.96298999997</v>
      </c>
      <c r="G204" s="18">
        <f>9.55+9.6+43.61+43.62+66.96+66.88+(59630.37+327.54+69957.97+158.85)*0.471</f>
        <v>61505.417830000006</v>
      </c>
      <c r="H204" s="18">
        <f>1200+1148+378.42*2+61.05*0.471+(18427.02+1442.19+9722.67)*0.471-(216+49.95+118.8+49.95)*0.471-87.95*0.471-41.96-37.29-(58.08+90.27+58.08)*0.47</f>
        <v>16648.929780000002</v>
      </c>
      <c r="I204" s="18">
        <f>51.99+43+(5693.31+539.64)*0.471-(175.43*0.471)-53*0.47</f>
        <v>2923.1719200000002</v>
      </c>
      <c r="J204" s="18"/>
      <c r="K204" s="18">
        <f>1390.07+1113.43+(3176.4+125)*0.471-30.78-30.77-0.01</f>
        <v>3996.8993999999993</v>
      </c>
      <c r="L204" s="19">
        <f t="shared" si="0"/>
        <v>220386.38191999996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62832+26928+52707.22+23571.25+992</f>
        <v>167030.47</v>
      </c>
      <c r="G205" s="18">
        <f>32093.76+13702.76+10023.73+15828.67+186.69</f>
        <v>71835.61</v>
      </c>
      <c r="H205" s="18">
        <f>24187.19+9787.71+6691.1+3888.84</f>
        <v>44554.84</v>
      </c>
      <c r="I205" s="18">
        <f>5982.31+3533+1676.38+1740.25-44.5-111.12</f>
        <v>12776.320000000002</v>
      </c>
      <c r="J205" s="18">
        <f>1273.28+1300.79</f>
        <v>2574.0699999999997</v>
      </c>
      <c r="K205" s="18">
        <f>1027.2+4110.32+75+1132.57</f>
        <v>6345.0899999999992</v>
      </c>
      <c r="L205" s="19">
        <f t="shared" si="0"/>
        <v>305116.40000000008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(163173.15+2962.8)*0.471</f>
        <v>78250.032449999984</v>
      </c>
      <c r="G206" s="18">
        <f>(83643.38+557.61)*0.471</f>
        <v>39658.666290000001</v>
      </c>
      <c r="H206" s="18">
        <f>(16575.65+148)*0.471-500*0.471</f>
        <v>7641.3391500000007</v>
      </c>
      <c r="I206" s="18">
        <f>21154.81*0.471</f>
        <v>9963.9155100000007</v>
      </c>
      <c r="J206" s="18">
        <f>2864.45*0.471-91.98*0.47</f>
        <v>1305.9253499999998</v>
      </c>
      <c r="K206" s="18">
        <f>19547*0.471</f>
        <v>9206.6369999999988</v>
      </c>
      <c r="L206" s="19">
        <f t="shared" si="0"/>
        <v>146026.51574999999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97821.22+23299.8+3913.14+1152+57200*0.471</f>
        <v>153127.35999999999</v>
      </c>
      <c r="G207" s="18">
        <f>42499.96+563.09+9526.84+216.8+(41142.76+59.85)*0.471</f>
        <v>72213.119310000009</v>
      </c>
      <c r="H207" s="18">
        <f>33471.66+19369.52+4210+4302.57+1869.15+(2440+4760.36+1100+985.13+4194.95+35)*0.471-360*0.471-4091-19.66-1792.92-96-520*0.47-3675.09-582.13-340-1184.44-1090.51-75.51-182.85</f>
        <v>56044.602240000007</v>
      </c>
      <c r="I207" s="18">
        <f>72057.47+20659.59+1160.71+52.2+4346.11*0.471-704.74-1847.88-576.26-1315.14-404.6-1114.12-570.08-232.38</f>
        <v>89211.787809999994</v>
      </c>
      <c r="J207" s="18">
        <f>1545.98+1226.33+1847.2+1226.33+(3377.3)*0.471-379-2429.19-368.88</f>
        <v>4259.4782999999998</v>
      </c>
      <c r="K207" s="18"/>
      <c r="L207" s="19">
        <f t="shared" si="0"/>
        <v>374856.34766000003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166170.62+41912.5+8293.09+6665.16+4893.06+952.05-597.7</f>
        <v>228288.77999999997</v>
      </c>
      <c r="I208" s="18"/>
      <c r="J208" s="18"/>
      <c r="K208" s="18"/>
      <c r="L208" s="19">
        <f t="shared" si="0"/>
        <v>228288.77999999997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12555.21+43858.1+4809.86*0.471</f>
        <v>58678.754059999999</v>
      </c>
      <c r="G209" s="18">
        <f>1964.12*0.471+22140.61+6487.81</f>
        <v>29553.520520000002</v>
      </c>
      <c r="H209" s="18">
        <f>388+163.41+(14286.19+1100)*0.471+136.59-147.28</f>
        <v>7787.6154900000001</v>
      </c>
      <c r="I209" s="18">
        <f>1275.25+490.95+2215.08+(1195+2914)*0.471</f>
        <v>5916.6189999999997</v>
      </c>
      <c r="J209" s="18">
        <f>8497.44+1732.65</f>
        <v>10230.09</v>
      </c>
      <c r="K209" s="18"/>
      <c r="L209" s="19">
        <f>SUM(F209:K209)</f>
        <v>112166.59907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2521576.7785399999</v>
      </c>
      <c r="G211" s="41">
        <f t="shared" si="1"/>
        <v>1191811.4177700002</v>
      </c>
      <c r="H211" s="41">
        <f t="shared" si="1"/>
        <v>513206.51364999998</v>
      </c>
      <c r="I211" s="41">
        <f t="shared" si="1"/>
        <v>206853.83424</v>
      </c>
      <c r="J211" s="41">
        <f t="shared" si="1"/>
        <v>41703.65365</v>
      </c>
      <c r="K211" s="41">
        <f t="shared" si="1"/>
        <v>22020.476239999996</v>
      </c>
      <c r="L211" s="41">
        <f t="shared" si="1"/>
        <v>4497172.6740899999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621822.62+7279.92+9889</f>
        <v>638991.54</v>
      </c>
      <c r="G215" s="18">
        <f>279133.21+1803.37+771.65+1.98-446.77</f>
        <v>281263.44</v>
      </c>
      <c r="H215" s="18">
        <f>503.84+11096.95-203.2-435.58-99.17</f>
        <v>10862.84</v>
      </c>
      <c r="I215" s="18">
        <f>26758.31+2986.78+287.68-735.16-40.3</f>
        <v>29257.31</v>
      </c>
      <c r="J215" s="18">
        <f>8701.63+603.98+6728.26-673.43-1907.94-1137.81</f>
        <v>12314.689999999999</v>
      </c>
      <c r="K215" s="18"/>
      <c r="L215" s="19">
        <f>SUM(F215:K215)</f>
        <v>972689.82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52700+71658.38+933</f>
        <v>125291.38</v>
      </c>
      <c r="G216" s="18">
        <f>40079.52+31009.21+6.43+2+25.38+71.37+146.2</f>
        <v>71340.109999999986</v>
      </c>
      <c r="H216" s="18">
        <f>167.07+122415.06-4408.51</f>
        <v>118173.62000000001</v>
      </c>
      <c r="I216" s="18">
        <f>954.07-45.51</f>
        <v>908.56000000000006</v>
      </c>
      <c r="J216" s="18">
        <v>99.99</v>
      </c>
      <c r="K216" s="18">
        <f>7528.74*0.22-(1570.8*0.22)-(1358.17)*0.205</f>
        <v>1032.32195</v>
      </c>
      <c r="L216" s="19">
        <f>SUM(F216:K216)</f>
        <v>316845.98194999999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6644.4+17101.28</f>
        <v>23745.68</v>
      </c>
      <c r="G218" s="18">
        <f>1555.24+2882.83+349.8</f>
        <v>4787.87</v>
      </c>
      <c r="H218" s="18">
        <f>9709.96+6609.6-25.74</f>
        <v>16293.82</v>
      </c>
      <c r="I218" s="18">
        <f>1012.17+1233.3</f>
        <v>2245.4699999999998</v>
      </c>
      <c r="J218" s="18">
        <f>4825.3</f>
        <v>4825.3</v>
      </c>
      <c r="K218" s="18">
        <f>1915.39+1709.33+5000-9.58</f>
        <v>8615.1400000000012</v>
      </c>
      <c r="L218" s="19">
        <f>SUM(F218:K218)</f>
        <v>60513.279999999999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18723.64+660.84+12071.27+451.1+21179.96+(168045.06+2596.23)*0.22</f>
        <v>90627.893799999991</v>
      </c>
      <c r="G220" s="18">
        <f>8165.44+154.1+13147.65+84.9+14856.07+25.39+(81655.43+488.61)*0.22</f>
        <v>54505.238800000006</v>
      </c>
      <c r="H220" s="18">
        <f>2069.6+600+112+2000+1948+150+15011.76+135+14259.55+13134.37+2700-150-62.8-94.2</f>
        <v>51813.280000000006</v>
      </c>
      <c r="I220" s="18">
        <f>1256.52+311.45+120.9-200.4</f>
        <v>1488.47</v>
      </c>
      <c r="J220" s="18">
        <f>120</f>
        <v>120</v>
      </c>
      <c r="K220" s="18">
        <f>261.2+60</f>
        <v>321.2</v>
      </c>
      <c r="L220" s="19">
        <f t="shared" ref="L220:L226" si="2">SUM(F220:K220)</f>
        <v>198876.08260000002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(66050+53164.95)*0.22+3000+26259.58</f>
        <v>55486.869000000006</v>
      </c>
      <c r="G221" s="18">
        <f>(23578.2+33494.18)*0.22+3509.63+436.56+884.58+16687.81</f>
        <v>34074.503600000011</v>
      </c>
      <c r="H221" s="18">
        <f>(1014.1+1718.59)*0.22+905-73.14</f>
        <v>1433.0518</v>
      </c>
      <c r="I221" s="18">
        <f>3033.57+468-651.34</f>
        <v>2850.23</v>
      </c>
      <c r="J221" s="18"/>
      <c r="K221" s="18"/>
      <c r="L221" s="19">
        <f t="shared" si="2"/>
        <v>93844.654400000014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125+250+875+300*0.22+(161995.86+1740.38)*0.22+(117098.39+844.06)*0.22</f>
        <v>63285.311799999996</v>
      </c>
      <c r="G222" s="18">
        <f>(59630.37+327.54+69657.97+158.85)*0.22+9.55+43.61+66.96</f>
        <v>28670.560600000001</v>
      </c>
      <c r="H222" s="18">
        <f>1294.6+378.42+61.05*0.22+(18427.02+1442.19+9722.67)*0.22-(216+49.95+118.8+49.95)*0.22-87.95*0.22-153.85-(58.08+90.27+58.08)*0.205</f>
        <v>7885.5134499999995</v>
      </c>
      <c r="I222" s="18">
        <f>43+(5693.31+539.64)*0.22-(175.43*0.22)-53*0.205</f>
        <v>1364.7894000000003</v>
      </c>
      <c r="J222" s="18"/>
      <c r="K222" s="18">
        <f>810.73+(3176.4+125)*0.22</f>
        <v>1537.038</v>
      </c>
      <c r="L222" s="19">
        <f t="shared" si="2"/>
        <v>102743.21324999999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71739.95+24907.35+595.68</f>
        <v>97242.979999999981</v>
      </c>
      <c r="G223" s="18">
        <f>19329.28+21699.12+112.1</f>
        <v>41140.499999999993</v>
      </c>
      <c r="H223" s="18">
        <f>7611.29+15681.21+204.62-63.51-206.43-250.54-63.45-274.89</f>
        <v>22638.3</v>
      </c>
      <c r="I223" s="18">
        <f>1772.03+1994.92+26.21-29-31.8</f>
        <v>3732.3599999999997</v>
      </c>
      <c r="J223" s="18">
        <f>60</f>
        <v>60</v>
      </c>
      <c r="K223" s="18">
        <f>1857.64+1253.97+166.12</f>
        <v>3277.73</v>
      </c>
      <c r="L223" s="19">
        <f t="shared" si="2"/>
        <v>168091.86999999997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(163173.15+2962.8)*0.22</f>
        <v>36549.909</v>
      </c>
      <c r="G224" s="18">
        <f>(83643.38+557.61)*0.22</f>
        <v>18524.217800000002</v>
      </c>
      <c r="H224" s="18">
        <f>(16575.65+148)*0.22-500*0.22</f>
        <v>3569.2030000000004</v>
      </c>
      <c r="I224" s="18">
        <f>21154.81*0.22</f>
        <v>4654.0582000000004</v>
      </c>
      <c r="J224" s="18">
        <f>2864.45*0.22-91.98*0.205</f>
        <v>611.32309999999995</v>
      </c>
      <c r="K224" s="18">
        <f>19547*0.22</f>
        <v>4300.34</v>
      </c>
      <c r="L224" s="19">
        <f t="shared" si="2"/>
        <v>68209.051099999997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57200*0.22+51167.41+2246.52</f>
        <v>65997.930000000008</v>
      </c>
      <c r="G225" s="18">
        <f>(41142.76+59.85)*0.22+18659.7+296.54</f>
        <v>28020.814200000001</v>
      </c>
      <c r="H225" s="18">
        <f>50135+58998.2+688+9054.04+11567.58+(2440+4760.36+1100+985.13+4194.95+35)*0.22-360*0.22-2087.5-500.8-2344.22-520*0.205-1643.48-982-1100.11-611.64-2.73</f>
        <v>123957.93679999998</v>
      </c>
      <c r="I225" s="18">
        <f>49369.82+2136.71+4346.11*0.22-2652.23-2233.97-449.36-2163.19-78.69</f>
        <v>44885.234199999992</v>
      </c>
      <c r="J225" s="18">
        <f>7856.87+518.95+(3377.3)*0.22-5140-648.84</f>
        <v>3329.985999999999</v>
      </c>
      <c r="K225" s="18"/>
      <c r="L225" s="19">
        <f t="shared" si="2"/>
        <v>266191.90119999996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55801.88+5217.29+18437.49-206.15-546.95</f>
        <v>78703.560000000012</v>
      </c>
      <c r="I226" s="18"/>
      <c r="J226" s="18"/>
      <c r="K226" s="18"/>
      <c r="L226" s="19">
        <f t="shared" si="2"/>
        <v>78703.560000000012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9619.72+4809.86*0.22</f>
        <v>10677.8892</v>
      </c>
      <c r="G227" s="18">
        <f>1964.12*0.22+3987.88</f>
        <v>4419.9863999999998</v>
      </c>
      <c r="H227" s="18">
        <f>28970.75+(14286.19+1100)*0.22</f>
        <v>32355.711800000001</v>
      </c>
      <c r="I227" s="18">
        <f>6166+(1195+2914)*0.22</f>
        <v>7069.98</v>
      </c>
      <c r="J227" s="18">
        <f>19758</f>
        <v>19758</v>
      </c>
      <c r="K227" s="18"/>
      <c r="L227" s="19">
        <f>SUM(F227:K227)</f>
        <v>74281.5674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1207897.3828</v>
      </c>
      <c r="G229" s="41">
        <f>SUM(G215:G228)</f>
        <v>566747.24140000006</v>
      </c>
      <c r="H229" s="41">
        <f>SUM(H215:H228)</f>
        <v>467686.83684999996</v>
      </c>
      <c r="I229" s="41">
        <f>SUM(I215:I228)</f>
        <v>98456.461800000005</v>
      </c>
      <c r="J229" s="41">
        <f>SUM(J215:J228)</f>
        <v>41119.289100000002</v>
      </c>
      <c r="K229" s="41">
        <f t="shared" si="3"/>
        <v>19083.769950000002</v>
      </c>
      <c r="L229" s="41">
        <f t="shared" si="3"/>
        <v>2400990.9819000005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997172.85+10919.88+18483</f>
        <v>1026575.73</v>
      </c>
      <c r="G233" s="18">
        <f>436719.23+2669.29+1435.31+2</f>
        <v>440825.82999999996</v>
      </c>
      <c r="H233" s="18">
        <f>755.79+13909.65-303.68-304.8-638.85-72.6-144.43</f>
        <v>13201.079999999998</v>
      </c>
      <c r="I233" s="18">
        <f>40625.93+4538.13+427.83-1180.73-60.41-0.03</f>
        <v>44350.719999999994</v>
      </c>
      <c r="J233" s="18">
        <f>10045.24+905.97+6714.1-9452.22</f>
        <v>8213.0899999999983</v>
      </c>
      <c r="K233" s="18"/>
      <c r="L233" s="19">
        <f>SUM(F233:K233)</f>
        <v>1533166.4500000002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71849.99+84514.82+1867</f>
        <v>158231.81</v>
      </c>
      <c r="G234" s="18">
        <f>46352.33+15388.4+9.64+7.98+25.38+142.83+292.56</f>
        <v>62219.12</v>
      </c>
      <c r="H234" s="18">
        <f>167.07+398241.11</f>
        <v>398408.18</v>
      </c>
      <c r="I234" s="18">
        <f>1197.62-479.86-61.95</f>
        <v>655.80999999999983</v>
      </c>
      <c r="J234" s="18">
        <f>139.27</f>
        <v>139.27000000000001</v>
      </c>
      <c r="K234" s="18">
        <f>7528.74*0.309-(1570.8*0.309)-(1358.17)*0.325</f>
        <v>1399.5982099999999</v>
      </c>
      <c r="L234" s="19">
        <f>SUM(F234:K234)</f>
        <v>621053.78821000003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9111.71+9141.89-1336.64-298-15396.2</f>
        <v>1222.7599999999984</v>
      </c>
      <c r="I235" s="18"/>
      <c r="J235" s="18"/>
      <c r="K235" s="18"/>
      <c r="L235" s="19">
        <f>SUM(F235:K235)</f>
        <v>1222.7599999999984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17348.6+32891.72</f>
        <v>50240.32</v>
      </c>
      <c r="G236" s="18">
        <f>3836.68+4701.5</f>
        <v>8538.18</v>
      </c>
      <c r="H236" s="18">
        <f>14565+9914.4-38.61</f>
        <v>24440.79</v>
      </c>
      <c r="I236" s="18">
        <f>1518.19+1849.95</f>
        <v>3368.1400000000003</v>
      </c>
      <c r="J236" s="18">
        <f>7237.95</f>
        <v>7237.95</v>
      </c>
      <c r="K236" s="18">
        <f>2913.08+2407.66-14.37</f>
        <v>5306.37</v>
      </c>
      <c r="L236" s="19">
        <f>SUM(F236:K236)</f>
        <v>99131.75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93065+18106.93+676.65+31770.04+(168045.06+2596.23)*0.309</f>
        <v>196346.77860999998</v>
      </c>
      <c r="G238" s="18">
        <f>51988.51+19721.4+127.34+22284.31+25.39+(81655.43+488.61)*0.309</f>
        <v>119529.45835999999</v>
      </c>
      <c r="H238" s="18">
        <f>3104.4+900+168+1000+3797+150+10919.33+450+16284.31+500</f>
        <v>37273.040000000001</v>
      </c>
      <c r="I238" s="18">
        <f>1884.74+467.16+181.35-300.6</f>
        <v>2232.65</v>
      </c>
      <c r="J238" s="18">
        <f>179.99</f>
        <v>179.99</v>
      </c>
      <c r="K238" s="18">
        <f>391.8+90</f>
        <v>481.8</v>
      </c>
      <c r="L238" s="19">
        <f t="shared" ref="L238:L244" si="4">SUM(F238:K238)</f>
        <v>356043.71696999995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(66050+53164.95)*0.309+4061.79+39305.56</f>
        <v>80204.769549999997</v>
      </c>
      <c r="G239" s="18">
        <f>(23578.2+33494.18)*0.309+5307.75+654.84+439.67+24962.33</f>
        <v>48999.955419999998</v>
      </c>
      <c r="H239" s="18">
        <f>(1014.1+1718.59)*0.309+1357.32</f>
        <v>2201.7212099999997</v>
      </c>
      <c r="I239" s="18">
        <f>4453.31+702-977.01</f>
        <v>4178.3</v>
      </c>
      <c r="J239" s="18"/>
      <c r="K239" s="18"/>
      <c r="L239" s="19">
        <f t="shared" si="4"/>
        <v>135584.74617999999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125+250+875+300*0.309+(161995.86+1740.38)*0.309+(117098.39+844.06)*0.309</f>
        <v>88381.415209999992</v>
      </c>
      <c r="G240" s="18">
        <f>(59630.37+327.54+69657.97+158.85)*0.309+9.55+43.61+66.96</f>
        <v>40220.511570000002</v>
      </c>
      <c r="H240" s="18">
        <f>61.05*0.309+2262.1+378.42+(18427.02+1442.19+9722.67)*0.309-(216+49.95+118.8+49.95)*0.309-109.71-87.95*0.309-233.1-(58.08+90.27+58.08)*0.325</f>
        <v>11231.876770000001</v>
      </c>
      <c r="I240" s="18">
        <f>43+(5693.31+539.64)*0.309-(175.43*0.309)-53*0.325</f>
        <v>1897.5486800000003</v>
      </c>
      <c r="J240" s="18"/>
      <c r="K240" s="18">
        <f>1040.75+(3176.4+125)*0.309</f>
        <v>2060.8825999999999</v>
      </c>
      <c r="L240" s="19">
        <f t="shared" si="4"/>
        <v>143792.23483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107610.05+37361.03+893.52</f>
        <v>145864.6</v>
      </c>
      <c r="G241" s="18">
        <f>28993.53+32478.28+168.17</f>
        <v>61639.979999999996</v>
      </c>
      <c r="H241" s="18">
        <f>11424.15+23498.17+306.91-95.27-309.65-375.82-95.18-412.33</f>
        <v>33940.980000000003</v>
      </c>
      <c r="I241" s="18">
        <f>2661.18+2501.85+37.17-43.5-47.7</f>
        <v>5109</v>
      </c>
      <c r="J241" s="18">
        <f>63.72</f>
        <v>63.72</v>
      </c>
      <c r="K241" s="18">
        <f>2786.46+1934.97+249.17</f>
        <v>4970.6000000000004</v>
      </c>
      <c r="L241" s="19">
        <f t="shared" si="4"/>
        <v>251588.88000000003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(163173.15+2962.8)*0.309</f>
        <v>51336.008549999991</v>
      </c>
      <c r="G242" s="18">
        <f>(83643.38+557.61)*0.309</f>
        <v>26018.105910000002</v>
      </c>
      <c r="H242" s="18">
        <f>(16575.65+148)*0.309-500*0.309</f>
        <v>5013.1078500000003</v>
      </c>
      <c r="I242" s="18">
        <f>21154.81*0.309</f>
        <v>6536.8362900000002</v>
      </c>
      <c r="J242" s="18">
        <f>2864.45*0.309-91.98*0.325</f>
        <v>855.22154999999987</v>
      </c>
      <c r="K242" s="18">
        <f>19547*0.309</f>
        <v>6040.0230000000001</v>
      </c>
      <c r="L242" s="19">
        <f t="shared" si="4"/>
        <v>95799.303150000007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57200*0.309+49687.57+2246.52</f>
        <v>69608.89</v>
      </c>
      <c r="G243" s="18">
        <f>(41142.76+59.85)*0.309+17377.09+296.51</f>
        <v>30405.20649</v>
      </c>
      <c r="H243" s="18">
        <f>(2440+4760.36+1100+985.13+4194.95+35)*0.309+77681.63+12749.21+94922.3+1032+16222.82-360*0.309-3131.25-751.2-3516.32-927.09-520*0.325-2465.23-1473-1650.18-917.06-4.03</f>
        <v>191668.63096000001</v>
      </c>
      <c r="I243" s="18">
        <f>73832.62+3115.53+4346.11*0.309-3246.84-3350.95-3244.79-117.99</f>
        <v>68330.527990000002</v>
      </c>
      <c r="J243" s="18">
        <f>11585.24+743.39+(3377.3)*0.309-7710</f>
        <v>5662.2156999999988</v>
      </c>
      <c r="K243" s="18"/>
      <c r="L243" s="19">
        <f t="shared" si="4"/>
        <v>365675.47113999998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80277.28+4298.92+30473.58+27655.76-309.23-1170-820.43</f>
        <v>140405.88</v>
      </c>
      <c r="I244" s="18"/>
      <c r="J244" s="18"/>
      <c r="K244" s="18"/>
      <c r="L244" s="19">
        <f t="shared" si="4"/>
        <v>140405.88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9619.72+4809.86*0.309</f>
        <v>11105.96674</v>
      </c>
      <c r="G245" s="18">
        <f>1964.12*0.309+4017.8</f>
        <v>4624.7130800000004</v>
      </c>
      <c r="H245" s="18">
        <f>(14286.19+1100)*0.309+43455.65</f>
        <v>48209.982710000004</v>
      </c>
      <c r="I245" s="18">
        <f>9249+(1195+2914)*0.309</f>
        <v>10518.681</v>
      </c>
      <c r="J245" s="18">
        <f>26354</f>
        <v>26354</v>
      </c>
      <c r="K245" s="18"/>
      <c r="L245" s="19">
        <f>SUM(F245:K245)</f>
        <v>100813.34353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1877896.2886600001</v>
      </c>
      <c r="G247" s="41">
        <f t="shared" si="5"/>
        <v>843021.06082999997</v>
      </c>
      <c r="H247" s="41">
        <f t="shared" si="5"/>
        <v>907218.02949999995</v>
      </c>
      <c r="I247" s="41">
        <f t="shared" si="5"/>
        <v>147178.21395999999</v>
      </c>
      <c r="J247" s="41">
        <f t="shared" si="5"/>
        <v>48705.457249999992</v>
      </c>
      <c r="K247" s="41">
        <f t="shared" si="5"/>
        <v>20259.273809999999</v>
      </c>
      <c r="L247" s="41">
        <f t="shared" si="5"/>
        <v>3844278.3240099996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5607370.4500000002</v>
      </c>
      <c r="G257" s="41">
        <f t="shared" si="8"/>
        <v>2601579.7200000002</v>
      </c>
      <c r="H257" s="41">
        <f t="shared" si="8"/>
        <v>1888111.38</v>
      </c>
      <c r="I257" s="41">
        <f t="shared" si="8"/>
        <v>452488.51</v>
      </c>
      <c r="J257" s="41">
        <f t="shared" si="8"/>
        <v>131528.4</v>
      </c>
      <c r="K257" s="41">
        <f t="shared" si="8"/>
        <v>61363.519999999997</v>
      </c>
      <c r="L257" s="41">
        <f t="shared" si="8"/>
        <v>10742441.98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407421.25</v>
      </c>
      <c r="L261" s="19">
        <f>SUM(F261:K261)</f>
        <v>407421.25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28088.48</v>
      </c>
      <c r="L263" s="19">
        <f>SUM(F263:K263)</f>
        <v>28088.48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960509.73</v>
      </c>
      <c r="L270" s="41">
        <f t="shared" si="9"/>
        <v>960509.73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5607370.4500000002</v>
      </c>
      <c r="G271" s="42">
        <f t="shared" si="11"/>
        <v>2601579.7200000002</v>
      </c>
      <c r="H271" s="42">
        <f t="shared" si="11"/>
        <v>1888111.38</v>
      </c>
      <c r="I271" s="42">
        <f t="shared" si="11"/>
        <v>452488.51</v>
      </c>
      <c r="J271" s="42">
        <f t="shared" si="11"/>
        <v>131528.4</v>
      </c>
      <c r="K271" s="42">
        <f t="shared" si="11"/>
        <v>1021873.25</v>
      </c>
      <c r="L271" s="42">
        <f t="shared" si="11"/>
        <v>11702951.710000001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82505.1</f>
        <v>82505.100000000006</v>
      </c>
      <c r="G276" s="18">
        <f>31918.26</f>
        <v>31918.26</v>
      </c>
      <c r="H276" s="18">
        <f>84.46</f>
        <v>84.46</v>
      </c>
      <c r="I276" s="18">
        <f>4970.69+387.89</f>
        <v>5358.58</v>
      </c>
      <c r="J276" s="18"/>
      <c r="K276" s="18"/>
      <c r="L276" s="19">
        <f>SUM(F276:K276)</f>
        <v>119866.40000000001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f>203.8</f>
        <v>203.8</v>
      </c>
      <c r="J279" s="18">
        <v>857.26</v>
      </c>
      <c r="K279" s="18"/>
      <c r="L279" s="19">
        <f>SUM(F279:K279)</f>
        <v>1061.06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32220.25</f>
        <v>32220.25</v>
      </c>
      <c r="G281" s="18">
        <f>16896.66</f>
        <v>16896.66</v>
      </c>
      <c r="H281" s="18">
        <f>66959.49-24500+2304+600+24500*0.471</f>
        <v>56902.990000000005</v>
      </c>
      <c r="I281" s="18"/>
      <c r="J281" s="18">
        <f>3337.6</f>
        <v>3337.6</v>
      </c>
      <c r="K281" s="18"/>
      <c r="L281" s="19">
        <f t="shared" ref="L281:L287" si="12">SUM(F281:K281)</f>
        <v>109357.50000000001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2114.05+114.31+1000+3900*0.471+2000.02</f>
        <v>7065.2800000000007</v>
      </c>
      <c r="G282" s="18">
        <f>161.75+8.75+375.13/2+740.3*0.471+924.55</f>
        <v>1631.2963</v>
      </c>
      <c r="H282" s="18">
        <f>-0.01+299.98+4782.02+1250+(4165+3750+1159.15+724.5)*0.471+294.67</f>
        <v>11241.82415</v>
      </c>
      <c r="I282" s="18">
        <f>357.29*0.471</f>
        <v>168.28359</v>
      </c>
      <c r="J282" s="18"/>
      <c r="K282" s="18"/>
      <c r="L282" s="19">
        <f t="shared" si="12"/>
        <v>20106.68404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2033</v>
      </c>
      <c r="I283" s="18"/>
      <c r="J283" s="18"/>
      <c r="K283" s="18"/>
      <c r="L283" s="19">
        <f t="shared" si="12"/>
        <v>2033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300*0.471</f>
        <v>141.29999999999998</v>
      </c>
      <c r="I286" s="18"/>
      <c r="J286" s="18"/>
      <c r="K286" s="18"/>
      <c r="L286" s="19">
        <f t="shared" si="12"/>
        <v>141.29999999999998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121790.63</v>
      </c>
      <c r="G290" s="42">
        <f t="shared" si="13"/>
        <v>50446.2163</v>
      </c>
      <c r="H290" s="42">
        <f t="shared" si="13"/>
        <v>70403.574150000015</v>
      </c>
      <c r="I290" s="42">
        <f t="shared" si="13"/>
        <v>5730.6635900000001</v>
      </c>
      <c r="J290" s="42">
        <f t="shared" si="13"/>
        <v>4194.8599999999997</v>
      </c>
      <c r="K290" s="42">
        <f t="shared" si="13"/>
        <v>0</v>
      </c>
      <c r="L290" s="41">
        <f t="shared" si="13"/>
        <v>252565.94404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f>98.33</f>
        <v>98.33</v>
      </c>
      <c r="J295" s="18"/>
      <c r="K295" s="18"/>
      <c r="L295" s="19">
        <f>SUM(F295:K295)</f>
        <v>98.33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24500*0.22</f>
        <v>5390</v>
      </c>
      <c r="I300" s="18"/>
      <c r="J300" s="18"/>
      <c r="K300" s="18"/>
      <c r="L300" s="19">
        <f t="shared" ref="L300:L306" si="14">SUM(F300:K300)</f>
        <v>5390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(2500+1000+3500)*0.4+3900*0.22</f>
        <v>3658</v>
      </c>
      <c r="G301" s="18">
        <f>(579.64+187.56+724.65)*0.4+740.3*0.22</f>
        <v>759.60599999999999</v>
      </c>
      <c r="H301" s="18">
        <f>4782.02+1250+(4165+3750+1159.15+724.5)*0.22</f>
        <v>8187.723</v>
      </c>
      <c r="I301" s="18">
        <f>357.29*0.22</f>
        <v>78.603800000000007</v>
      </c>
      <c r="J301" s="18"/>
      <c r="K301" s="18"/>
      <c r="L301" s="19">
        <f t="shared" si="14"/>
        <v>12683.9328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f>300*0.22</f>
        <v>66</v>
      </c>
      <c r="I305" s="18"/>
      <c r="J305" s="18">
        <f>3432.28*0.4</f>
        <v>1372.9120000000003</v>
      </c>
      <c r="K305" s="18"/>
      <c r="L305" s="19">
        <f t="shared" si="14"/>
        <v>1438.9120000000003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f>1678.99*0.4</f>
        <v>671.596</v>
      </c>
      <c r="I307" s="18"/>
      <c r="J307" s="18"/>
      <c r="K307" s="18"/>
      <c r="L307" s="19">
        <f>SUM(F307:K307)</f>
        <v>671.596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3658</v>
      </c>
      <c r="G309" s="42">
        <f t="shared" si="15"/>
        <v>759.60599999999999</v>
      </c>
      <c r="H309" s="42">
        <f t="shared" si="15"/>
        <v>14315.319</v>
      </c>
      <c r="I309" s="42">
        <f t="shared" si="15"/>
        <v>176.93380000000002</v>
      </c>
      <c r="J309" s="42">
        <f t="shared" si="15"/>
        <v>1372.9120000000003</v>
      </c>
      <c r="K309" s="42">
        <f t="shared" si="15"/>
        <v>0</v>
      </c>
      <c r="L309" s="41">
        <f t="shared" si="15"/>
        <v>20282.770800000002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f>147.52</f>
        <v>147.52000000000001</v>
      </c>
      <c r="J314" s="18"/>
      <c r="K314" s="18"/>
      <c r="L314" s="19">
        <f>SUM(F314:K314)</f>
        <v>147.52000000000001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24500*0.309</f>
        <v>7570.5</v>
      </c>
      <c r="I319" s="18"/>
      <c r="J319" s="18"/>
      <c r="K319" s="18"/>
      <c r="L319" s="19">
        <f t="shared" ref="L319:L325" si="16">SUM(F319:K319)</f>
        <v>7570.5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(2500+1000+3500)*0.6+3900*0.309+500</f>
        <v>5905.1</v>
      </c>
      <c r="G320" s="18">
        <f>(579.64+187.57+724.65)*0.6+740.3*0.309+114.72</f>
        <v>1238.5887</v>
      </c>
      <c r="H320" s="18">
        <f>6030+3278.2+(4165+3750+1159.15+724.5)*0.309</f>
        <v>12335.98285</v>
      </c>
      <c r="I320" s="18">
        <f>357.29*0.309</f>
        <v>110.40261000000001</v>
      </c>
      <c r="J320" s="18"/>
      <c r="K320" s="18"/>
      <c r="L320" s="19">
        <f t="shared" si="16"/>
        <v>19590.07416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300*0.309</f>
        <v>92.7</v>
      </c>
      <c r="I324" s="18"/>
      <c r="J324" s="18">
        <f>3432.28*0.6</f>
        <v>2059.3679999999999</v>
      </c>
      <c r="K324" s="18"/>
      <c r="L324" s="19">
        <f t="shared" si="16"/>
        <v>2152.0679999999998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f>1678.99*0.6</f>
        <v>1007.394</v>
      </c>
      <c r="I326" s="18"/>
      <c r="J326" s="18"/>
      <c r="K326" s="18"/>
      <c r="L326" s="19">
        <f>SUM(F326:K326)</f>
        <v>1007.394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5905.1</v>
      </c>
      <c r="G328" s="42">
        <f t="shared" si="17"/>
        <v>1238.5887</v>
      </c>
      <c r="H328" s="42">
        <f t="shared" si="17"/>
        <v>21006.576850000001</v>
      </c>
      <c r="I328" s="42">
        <f t="shared" si="17"/>
        <v>257.92261000000002</v>
      </c>
      <c r="J328" s="42">
        <f t="shared" si="17"/>
        <v>2059.3679999999999</v>
      </c>
      <c r="K328" s="42">
        <f t="shared" si="17"/>
        <v>0</v>
      </c>
      <c r="L328" s="41">
        <f t="shared" si="17"/>
        <v>30467.55616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131353.73000000001</v>
      </c>
      <c r="G338" s="41">
        <f t="shared" si="20"/>
        <v>52444.411</v>
      </c>
      <c r="H338" s="41">
        <f t="shared" si="20"/>
        <v>105725.47000000002</v>
      </c>
      <c r="I338" s="41">
        <f t="shared" si="20"/>
        <v>6165.5199999999995</v>
      </c>
      <c r="J338" s="41">
        <f t="shared" si="20"/>
        <v>7627.1399999999994</v>
      </c>
      <c r="K338" s="41">
        <f t="shared" si="20"/>
        <v>0</v>
      </c>
      <c r="L338" s="41">
        <f t="shared" si="20"/>
        <v>303316.27100000001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131353.73000000001</v>
      </c>
      <c r="G352" s="41">
        <f>G338</f>
        <v>52444.411</v>
      </c>
      <c r="H352" s="41">
        <f>H338</f>
        <v>105725.47000000002</v>
      </c>
      <c r="I352" s="41">
        <f>I338</f>
        <v>6165.5199999999995</v>
      </c>
      <c r="J352" s="41">
        <f>J338</f>
        <v>7627.1399999999994</v>
      </c>
      <c r="K352" s="47">
        <f>K338+K351</f>
        <v>0</v>
      </c>
      <c r="L352" s="41">
        <f>L338+L351</f>
        <v>303316.27100000001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38018.8+3585.3</f>
        <v>41604.100000000006</v>
      </c>
      <c r="G358" s="18">
        <f>7225.13+322.33</f>
        <v>7547.46</v>
      </c>
      <c r="H358" s="18">
        <f>250.48+51.18+277.61+16.74</f>
        <v>596.01</v>
      </c>
      <c r="I358" s="18">
        <f>26756.69+5109.47</f>
        <v>31866.16</v>
      </c>
      <c r="J358" s="18"/>
      <c r="K358" s="18">
        <v>225</v>
      </c>
      <c r="L358" s="13">
        <f>SUM(F358:K358)</f>
        <v>81838.73000000001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14914.68+19250*0.4</f>
        <v>22614.68</v>
      </c>
      <c r="G359" s="18">
        <f>5687.05+3515.83*0.4</f>
        <v>7093.3820000000005</v>
      </c>
      <c r="H359" s="18">
        <f>1243.03+46</f>
        <v>1289.03</v>
      </c>
      <c r="I359" s="18">
        <f>22408.96+22370.27*0.4</f>
        <v>31357.067999999999</v>
      </c>
      <c r="J359" s="18">
        <f>6530.63*0.4</f>
        <v>2612.2520000000004</v>
      </c>
      <c r="K359" s="18">
        <f>290.85*0.4</f>
        <v>116.34000000000002</v>
      </c>
      <c r="L359" s="19">
        <f>SUM(F359:K359)</f>
        <v>65082.752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22350.9+19250*0.6</f>
        <v>33900.9</v>
      </c>
      <c r="G360" s="18">
        <f>8466.34+3515.83*0.6</f>
        <v>10575.838</v>
      </c>
      <c r="H360" s="18">
        <v>1660.93</v>
      </c>
      <c r="I360" s="18">
        <f>30875.33+22370.27*0.6</f>
        <v>44297.491999999998</v>
      </c>
      <c r="J360" s="18">
        <f>6530.63*0.6</f>
        <v>3918.3779999999997</v>
      </c>
      <c r="K360" s="18">
        <f>290.85*0.6</f>
        <v>174.51000000000002</v>
      </c>
      <c r="L360" s="19">
        <f>SUM(F360:K360)</f>
        <v>94528.047999999995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98119.680000000008</v>
      </c>
      <c r="G362" s="47">
        <f t="shared" si="22"/>
        <v>25216.68</v>
      </c>
      <c r="H362" s="47">
        <f t="shared" si="22"/>
        <v>3545.9700000000003</v>
      </c>
      <c r="I362" s="47">
        <f t="shared" si="22"/>
        <v>107520.72</v>
      </c>
      <c r="J362" s="47">
        <f t="shared" si="22"/>
        <v>6530.63</v>
      </c>
      <c r="K362" s="47">
        <f t="shared" si="22"/>
        <v>515.85</v>
      </c>
      <c r="L362" s="47">
        <f t="shared" si="22"/>
        <v>241449.53000000003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23803.89+4263.01</f>
        <v>28066.9</v>
      </c>
      <c r="G367" s="18">
        <f>21037.21+19177.77*0.4</f>
        <v>28708.317999999999</v>
      </c>
      <c r="H367" s="18">
        <f>28760.07+19177.77*0.6</f>
        <v>40266.732000000004</v>
      </c>
      <c r="I367" s="56">
        <f>SUM(F367:H367)</f>
        <v>97041.950000000012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2952.8+837.02+9.44+1807.5/2</f>
        <v>4703.01</v>
      </c>
      <c r="G368" s="63">
        <f>1371.75+1807.5/2*0.4+1385*0.4</f>
        <v>2287.25</v>
      </c>
      <c r="H368" s="63">
        <f>2115.26+1807.5/2*0.6+1385*0.6</f>
        <v>3488.51</v>
      </c>
      <c r="I368" s="56">
        <f>SUM(F368:H368)</f>
        <v>10478.77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32769.910000000003</v>
      </c>
      <c r="G369" s="47">
        <f>SUM(G367:G368)</f>
        <v>30995.567999999999</v>
      </c>
      <c r="H369" s="47">
        <f>SUM(H367:H368)</f>
        <v>43755.242000000006</v>
      </c>
      <c r="I369" s="47">
        <f>SUM(I367:I368)</f>
        <v>107520.72000000002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224486.63</v>
      </c>
      <c r="I375" s="18"/>
      <c r="J375" s="18"/>
      <c r="K375" s="18"/>
      <c r="L375" s="13">
        <f t="shared" ref="L375:L381" si="23">SUM(F375:K375)</f>
        <v>224486.63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83946.4</v>
      </c>
      <c r="I376" s="18"/>
      <c r="J376" s="18"/>
      <c r="K376" s="18"/>
      <c r="L376" s="13">
        <f t="shared" si="23"/>
        <v>83946.4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3604338.54</v>
      </c>
      <c r="I379" s="18"/>
      <c r="J379" s="18"/>
      <c r="K379" s="18"/>
      <c r="L379" s="13">
        <f t="shared" si="23"/>
        <v>3604338.54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3912771.5700000003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3912771.5700000003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150000</v>
      </c>
      <c r="H396" s="18">
        <v>1140.71</v>
      </c>
      <c r="I396" s="18">
        <v>676.41</v>
      </c>
      <c r="J396" s="24" t="s">
        <v>289</v>
      </c>
      <c r="K396" s="24" t="s">
        <v>289</v>
      </c>
      <c r="L396" s="56">
        <f t="shared" si="26"/>
        <v>151817.12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1047.79</v>
      </c>
      <c r="I397" s="18">
        <v>-130.94999999999999</v>
      </c>
      <c r="J397" s="24" t="s">
        <v>289</v>
      </c>
      <c r="K397" s="24" t="s">
        <v>289</v>
      </c>
      <c r="L397" s="56">
        <f t="shared" si="26"/>
        <v>916.83999999999992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50000</v>
      </c>
      <c r="H399" s="18">
        <v>0.57999999999999996</v>
      </c>
      <c r="I399" s="18"/>
      <c r="J399" s="24" t="s">
        <v>289</v>
      </c>
      <c r="K399" s="24" t="s">
        <v>289</v>
      </c>
      <c r="L399" s="56">
        <f t="shared" si="26"/>
        <v>50000.58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200000</v>
      </c>
      <c r="H401" s="47">
        <f>SUM(H395:H400)</f>
        <v>2189.08</v>
      </c>
      <c r="I401" s="47">
        <f>SUM(I395:I400)</f>
        <v>545.46</v>
      </c>
      <c r="J401" s="45" t="s">
        <v>289</v>
      </c>
      <c r="K401" s="45" t="s">
        <v>289</v>
      </c>
      <c r="L401" s="47">
        <f>SUM(L395:L400)</f>
        <v>202734.53999999998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2189.08</v>
      </c>
      <c r="I408" s="47">
        <f>I393+I401+I407</f>
        <v>545.46</v>
      </c>
      <c r="J408" s="24" t="s">
        <v>289</v>
      </c>
      <c r="K408" s="24" t="s">
        <v>289</v>
      </c>
      <c r="L408" s="47">
        <f>L393+L401+L407</f>
        <v>202734.53999999998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151350</v>
      </c>
      <c r="I422" s="18"/>
      <c r="J422" s="18"/>
      <c r="K422" s="18"/>
      <c r="L422" s="56">
        <f t="shared" si="29"/>
        <v>151350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>
        <v>21500</v>
      </c>
      <c r="I425" s="18"/>
      <c r="J425" s="18"/>
      <c r="K425" s="18"/>
      <c r="L425" s="56">
        <f t="shared" si="29"/>
        <v>21500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172850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172850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172850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172850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491151.2</v>
      </c>
      <c r="G439" s="18"/>
      <c r="H439" s="18"/>
      <c r="I439" s="56">
        <f t="shared" ref="I439:I445" si="33">SUM(F439:H439)</f>
        <v>491151.2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491151.2</v>
      </c>
      <c r="G446" s="13">
        <f>SUM(G439:G445)</f>
        <v>0</v>
      </c>
      <c r="H446" s="13">
        <f>SUM(H439:H445)</f>
        <v>0</v>
      </c>
      <c r="I446" s="13">
        <f>SUM(I439:I445)</f>
        <v>491151.2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491151.2</v>
      </c>
      <c r="G456" s="18"/>
      <c r="H456" s="18"/>
      <c r="I456" s="56">
        <f t="shared" si="34"/>
        <v>491151.2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491151.2</v>
      </c>
      <c r="G460" s="83">
        <f>SUM(G454:G459)</f>
        <v>0</v>
      </c>
      <c r="H460" s="83">
        <f>SUM(H454:H459)</f>
        <v>0</v>
      </c>
      <c r="I460" s="83">
        <f>SUM(I454:I459)</f>
        <v>491151.2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491151.2</v>
      </c>
      <c r="G461" s="42">
        <f>G452+G460</f>
        <v>0</v>
      </c>
      <c r="H461" s="42">
        <f>H452+H460</f>
        <v>0</v>
      </c>
      <c r="I461" s="42">
        <f>I452+I460</f>
        <v>491151.2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473465.13</v>
      </c>
      <c r="G465" s="18">
        <v>-36648.54</v>
      </c>
      <c r="H465" s="18">
        <v>2933.44</v>
      </c>
      <c r="I465" s="18">
        <v>4145628.81</v>
      </c>
      <c r="J465" s="18">
        <v>486822.66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11603867.869999999</v>
      </c>
      <c r="G468" s="18">
        <v>241449.53</v>
      </c>
      <c r="H468" s="18">
        <v>301621.46999999997</v>
      </c>
      <c r="I468" s="18">
        <v>17740</v>
      </c>
      <c r="J468" s="18">
        <f>2189.08+174444+545.46+25556</f>
        <v>202734.53999999998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11603867.869999999</v>
      </c>
      <c r="G470" s="53">
        <f>SUM(G468:G469)</f>
        <v>241449.53</v>
      </c>
      <c r="H470" s="53">
        <f>SUM(H468:H469)</f>
        <v>301621.46999999997</v>
      </c>
      <c r="I470" s="53">
        <f>SUM(I468:I469)</f>
        <v>17740</v>
      </c>
      <c r="J470" s="53">
        <f>SUM(J468:J469)</f>
        <v>202734.53999999998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11588359.23+191716.82-74657.82-2466.52</f>
        <v>11702951.710000001</v>
      </c>
      <c r="G472" s="18">
        <v>241449.53</v>
      </c>
      <c r="H472" s="18">
        <v>303316.27</v>
      </c>
      <c r="I472" s="18">
        <v>3912771.57</v>
      </c>
      <c r="J472" s="18">
        <v>172850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37226.78-25556</f>
        <v>11670.779999999999</v>
      </c>
      <c r="G473" s="18">
        <f>-36648.54-578.24</f>
        <v>-37226.78</v>
      </c>
      <c r="H473" s="18"/>
      <c r="I473" s="18"/>
      <c r="J473" s="18">
        <v>25556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11714622.49</v>
      </c>
      <c r="G474" s="53">
        <f>SUM(G472:G473)</f>
        <v>204222.75</v>
      </c>
      <c r="H474" s="53">
        <f>SUM(H472:H473)</f>
        <v>303316.27</v>
      </c>
      <c r="I474" s="53">
        <f>SUM(I472:I473)</f>
        <v>3912771.57</v>
      </c>
      <c r="J474" s="53">
        <f>SUM(J472:J473)</f>
        <v>198406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362710.50999999978</v>
      </c>
      <c r="G476" s="53">
        <f>(G465+G470)- G474</f>
        <v>578.23999999999069</v>
      </c>
      <c r="H476" s="53">
        <f>(H465+H470)- H474</f>
        <v>1238.6399999999558</v>
      </c>
      <c r="I476" s="53">
        <f>(I465+I470)- I474</f>
        <v>250597.24000000022</v>
      </c>
      <c r="J476" s="53">
        <f>(J465+J470)- J474</f>
        <v>491151.19999999995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913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 t="s">
        <v>916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 t="s">
        <v>918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6476775</v>
      </c>
      <c r="G493" s="18">
        <v>7640000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3.4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1605000</v>
      </c>
      <c r="G495" s="18">
        <v>7640000</v>
      </c>
      <c r="H495" s="18"/>
      <c r="I495" s="18"/>
      <c r="J495" s="18"/>
      <c r="K495" s="53">
        <f>SUM(F495:J495)</f>
        <v>9245000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325000</v>
      </c>
      <c r="G497" s="18">
        <v>0</v>
      </c>
      <c r="H497" s="18"/>
      <c r="I497" s="18"/>
      <c r="J497" s="18"/>
      <c r="K497" s="53">
        <f t="shared" si="35"/>
        <v>325000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1280000</v>
      </c>
      <c r="G498" s="204">
        <f>G495-G497</f>
        <v>7640000</v>
      </c>
      <c r="H498" s="204"/>
      <c r="I498" s="204"/>
      <c r="J498" s="204"/>
      <c r="K498" s="205">
        <f t="shared" si="35"/>
        <v>8920000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134400</v>
      </c>
      <c r="G499" s="18">
        <f>4068483.11-165845*2-191643.11</f>
        <v>3545150</v>
      </c>
      <c r="H499" s="18"/>
      <c r="I499" s="18"/>
      <c r="J499" s="18"/>
      <c r="K499" s="53">
        <f t="shared" si="35"/>
        <v>3679550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1414400</v>
      </c>
      <c r="G500" s="42">
        <f>SUM(G498:G499)</f>
        <v>11185150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12599550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320000</v>
      </c>
      <c r="G501" s="204">
        <v>0</v>
      </c>
      <c r="H501" s="204"/>
      <c r="I501" s="204"/>
      <c r="J501" s="204"/>
      <c r="K501" s="205">
        <f t="shared" si="35"/>
        <v>320000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33600+25200</f>
        <v>58800</v>
      </c>
      <c r="G502" s="18">
        <v>331690</v>
      </c>
      <c r="H502" s="18"/>
      <c r="I502" s="18"/>
      <c r="J502" s="18"/>
      <c r="K502" s="53">
        <f t="shared" si="35"/>
        <v>390490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378800</v>
      </c>
      <c r="G503" s="42">
        <f>SUM(G501:G502)</f>
        <v>331690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710490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f>93003</f>
        <v>93003</v>
      </c>
      <c r="G507" s="144">
        <f>3054+6156</f>
        <v>9210</v>
      </c>
      <c r="H507" s="144"/>
      <c r="I507" s="144">
        <f>F507+G507-H507</f>
        <v>102213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303993.45+85090.59</f>
        <v>389084.04000000004</v>
      </c>
      <c r="G521" s="18">
        <f>106132.2+27940.51</f>
        <v>134072.71</v>
      </c>
      <c r="H521" s="18">
        <f>5244.63+2170.42</f>
        <v>7415.05</v>
      </c>
      <c r="I521" s="18">
        <f>1274.78+807.4</f>
        <v>2082.1799999999998</v>
      </c>
      <c r="J521" s="18">
        <f>973.39+1128.88</f>
        <v>2102.27</v>
      </c>
      <c r="K521" s="18">
        <f>7528.74*0.471</f>
        <v>3546.0365399999996</v>
      </c>
      <c r="L521" s="88">
        <f>SUM(F521:K521)</f>
        <v>538302.28654000012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52700+71658.38</f>
        <v>124358.38</v>
      </c>
      <c r="G522" s="18">
        <v>71090.73</v>
      </c>
      <c r="H522" s="18">
        <f>167.07+122415.06</f>
        <v>122582.13</v>
      </c>
      <c r="I522" s="18">
        <f>954.07</f>
        <v>954.07</v>
      </c>
      <c r="J522" s="18">
        <f>99.99</f>
        <v>99.99</v>
      </c>
      <c r="K522" s="18">
        <f>7528.74*0.22</f>
        <v>1656.3227999999999</v>
      </c>
      <c r="L522" s="88">
        <f>SUM(F522:K522)</f>
        <v>320741.62280000001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71849.99+84514.82</f>
        <v>156364.81</v>
      </c>
      <c r="G523" s="18">
        <v>61748.71</v>
      </c>
      <c r="H523" s="18">
        <f>167.07+398241.11</f>
        <v>398408.18</v>
      </c>
      <c r="I523" s="18">
        <f>1197.62</f>
        <v>1197.6199999999999</v>
      </c>
      <c r="J523" s="18">
        <f>139.27</f>
        <v>139.27000000000001</v>
      </c>
      <c r="K523" s="18">
        <f>7528.74*0.309</f>
        <v>2326.3806599999998</v>
      </c>
      <c r="L523" s="88">
        <f>SUM(F523:K523)</f>
        <v>620184.97065999999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669807.23</v>
      </c>
      <c r="G524" s="108">
        <f t="shared" ref="G524:L524" si="36">SUM(G521:G523)</f>
        <v>266912.15000000002</v>
      </c>
      <c r="H524" s="108">
        <f t="shared" si="36"/>
        <v>528405.36</v>
      </c>
      <c r="I524" s="108">
        <f t="shared" si="36"/>
        <v>4233.87</v>
      </c>
      <c r="J524" s="108">
        <f t="shared" si="36"/>
        <v>2341.5299999999997</v>
      </c>
      <c r="K524" s="108">
        <f t="shared" si="36"/>
        <v>7528.7399999999989</v>
      </c>
      <c r="L524" s="89">
        <f t="shared" si="36"/>
        <v>1479228.8800000001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248839.91+13999.55+6401.43+32220.25</f>
        <v>301461.14</v>
      </c>
      <c r="G526" s="18">
        <f>120318.59+1204.74+16896.66</f>
        <v>138419.99</v>
      </c>
      <c r="H526" s="18">
        <f>88230.39+38471.05+657.49+218.95+69863.49</f>
        <v>197441.37</v>
      </c>
      <c r="I526" s="18">
        <f>721.83+994.03+112.2</f>
        <v>1828.0600000000002</v>
      </c>
      <c r="J526" s="18">
        <f>3337.6</f>
        <v>3337.6</v>
      </c>
      <c r="K526" s="18"/>
      <c r="L526" s="88">
        <f>SUM(F526:K526)</f>
        <v>642488.16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f>46488.68+2700+150</f>
        <v>49338.68</v>
      </c>
      <c r="I527" s="18"/>
      <c r="J527" s="18"/>
      <c r="K527" s="18"/>
      <c r="L527" s="88">
        <f>SUM(F527:K527)</f>
        <v>49338.68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32450.64+500+150</f>
        <v>33100.639999999999</v>
      </c>
      <c r="I528" s="18"/>
      <c r="J528" s="18"/>
      <c r="K528" s="18"/>
      <c r="L528" s="88">
        <f>SUM(F528:K528)</f>
        <v>33100.639999999999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301461.14</v>
      </c>
      <c r="G529" s="89">
        <f t="shared" ref="G529:L529" si="37">SUM(G526:G528)</f>
        <v>138419.99</v>
      </c>
      <c r="H529" s="89">
        <f t="shared" si="37"/>
        <v>279880.69</v>
      </c>
      <c r="I529" s="89">
        <f t="shared" si="37"/>
        <v>1828.0600000000002</v>
      </c>
      <c r="J529" s="89">
        <f t="shared" si="37"/>
        <v>3337.6</v>
      </c>
      <c r="K529" s="89">
        <f t="shared" si="37"/>
        <v>0</v>
      </c>
      <c r="L529" s="89">
        <f t="shared" si="37"/>
        <v>724927.4800000001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(53164.95+117098.39+844.06)*0.471</f>
        <v>80591.585399999996</v>
      </c>
      <c r="G531" s="18">
        <f>(23578.2+69657.97+158.85)*0.471</f>
        <v>43989.05442</v>
      </c>
      <c r="H531" s="18">
        <f>(1718.59+1440.68+678.52+7603.47)*0.471</f>
        <v>5388.8334599999998</v>
      </c>
      <c r="I531" s="18">
        <f>539.64*0.471</f>
        <v>254.17043999999999</v>
      </c>
      <c r="J531" s="18"/>
      <c r="K531" s="18">
        <f>125*0.471</f>
        <v>58.875</v>
      </c>
      <c r="L531" s="88">
        <f>SUM(F531:K531)</f>
        <v>130282.51871999999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(53164.95+117098.39+844.06)*0.22</f>
        <v>37643.627999999997</v>
      </c>
      <c r="G532" s="18">
        <f>(23578.2+69657.97+158.85)*0.22</f>
        <v>20546.904399999999</v>
      </c>
      <c r="H532" s="18">
        <f>(1718.59+1440.68+678.52+7603.47)*0.22</f>
        <v>2517.0772000000002</v>
      </c>
      <c r="I532" s="18">
        <f>539.64*0.22</f>
        <v>118.7208</v>
      </c>
      <c r="J532" s="18"/>
      <c r="K532" s="18">
        <f>125*0.22</f>
        <v>27.5</v>
      </c>
      <c r="L532" s="88">
        <f>SUM(F532:K532)</f>
        <v>60853.830399999999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(53164.95+117098.39+844.06)*0.309</f>
        <v>52872.186600000001</v>
      </c>
      <c r="G533" s="18">
        <f>(23578.2+69657.97+158.85)*0.309</f>
        <v>28859.061180000001</v>
      </c>
      <c r="H533" s="18">
        <f>(1718.59+1440.68+678.52+7603.47)*0.309</f>
        <v>3535.3493400000002</v>
      </c>
      <c r="I533" s="18">
        <f>539.64*0.309</f>
        <v>166.74876</v>
      </c>
      <c r="J533" s="18"/>
      <c r="K533" s="18">
        <f>125*0.309</f>
        <v>38.625</v>
      </c>
      <c r="L533" s="88">
        <f>SUM(F533:K533)</f>
        <v>85471.970880000008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171107.4</v>
      </c>
      <c r="G534" s="89">
        <f t="shared" ref="G534:L534" si="38">SUM(G531:G533)</f>
        <v>93395.02</v>
      </c>
      <c r="H534" s="89">
        <f t="shared" si="38"/>
        <v>11441.26</v>
      </c>
      <c r="I534" s="89">
        <f t="shared" si="38"/>
        <v>539.64</v>
      </c>
      <c r="J534" s="89">
        <f t="shared" si="38"/>
        <v>0</v>
      </c>
      <c r="K534" s="89">
        <f t="shared" si="38"/>
        <v>125</v>
      </c>
      <c r="L534" s="89">
        <f t="shared" si="38"/>
        <v>276608.32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61.05*0.471+1200+1148</f>
        <v>2376.7545500000001</v>
      </c>
      <c r="I536" s="18"/>
      <c r="J536" s="18"/>
      <c r="K536" s="18"/>
      <c r="L536" s="88">
        <f>SUM(F536:K536)</f>
        <v>2376.7545500000001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61.05*0.22+1294.6</f>
        <v>1308.0309999999999</v>
      </c>
      <c r="I537" s="18"/>
      <c r="J537" s="18"/>
      <c r="K537" s="18"/>
      <c r="L537" s="88">
        <f>SUM(F537:K537)</f>
        <v>1308.0309999999999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61.05*0.309+2262.1</f>
        <v>2280.9644499999999</v>
      </c>
      <c r="I538" s="18"/>
      <c r="J538" s="18"/>
      <c r="K538" s="18"/>
      <c r="L538" s="88">
        <f>SUM(F538:K538)</f>
        <v>2280.9644499999999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5965.75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5965.75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8293.09+6665.16</f>
        <v>14958.25</v>
      </c>
      <c r="I541" s="18"/>
      <c r="J541" s="18"/>
      <c r="K541" s="18"/>
      <c r="L541" s="88">
        <f>SUM(F541:K541)</f>
        <v>14958.25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55801.88</f>
        <v>55801.88</v>
      </c>
      <c r="I542" s="18"/>
      <c r="J542" s="18"/>
      <c r="K542" s="18"/>
      <c r="L542" s="88">
        <f>SUM(F542:K542)</f>
        <v>55801.88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80277.28</f>
        <v>80277.279999999999</v>
      </c>
      <c r="I543" s="18"/>
      <c r="J543" s="18"/>
      <c r="K543" s="18"/>
      <c r="L543" s="88">
        <f>SUM(F543:K543)</f>
        <v>80277.279999999999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151037.41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151037.41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1142375.77</v>
      </c>
      <c r="G545" s="89">
        <f t="shared" ref="G545:L545" si="41">G524+G529+G534+G539+G544</f>
        <v>498727.16000000003</v>
      </c>
      <c r="H545" s="89">
        <f t="shared" si="41"/>
        <v>976730.47000000009</v>
      </c>
      <c r="I545" s="89">
        <f t="shared" si="41"/>
        <v>6601.5700000000006</v>
      </c>
      <c r="J545" s="89">
        <f t="shared" si="41"/>
        <v>5679.1299999999992</v>
      </c>
      <c r="K545" s="89">
        <f t="shared" si="41"/>
        <v>7653.7399999999989</v>
      </c>
      <c r="L545" s="89">
        <f t="shared" si="41"/>
        <v>2637767.8400000003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538302.28654000012</v>
      </c>
      <c r="G549" s="87">
        <f>L526</f>
        <v>642488.16</v>
      </c>
      <c r="H549" s="87">
        <f>L531</f>
        <v>130282.51871999999</v>
      </c>
      <c r="I549" s="87">
        <f>L536</f>
        <v>2376.7545500000001</v>
      </c>
      <c r="J549" s="87">
        <f>L541</f>
        <v>14958.25</v>
      </c>
      <c r="K549" s="87">
        <f>SUM(F549:J549)</f>
        <v>1328407.9698100002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320741.62280000001</v>
      </c>
      <c r="G550" s="87">
        <f>L527</f>
        <v>49338.68</v>
      </c>
      <c r="H550" s="87">
        <f>L532</f>
        <v>60853.830399999999</v>
      </c>
      <c r="I550" s="87">
        <f>L537</f>
        <v>1308.0309999999999</v>
      </c>
      <c r="J550" s="87">
        <f>L542</f>
        <v>55801.88</v>
      </c>
      <c r="K550" s="87">
        <f>SUM(F550:J550)</f>
        <v>488044.0442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620184.97065999999</v>
      </c>
      <c r="G551" s="87">
        <f>L528</f>
        <v>33100.639999999999</v>
      </c>
      <c r="H551" s="87">
        <f>L533</f>
        <v>85471.970880000008</v>
      </c>
      <c r="I551" s="87">
        <f>L538</f>
        <v>2280.9644499999999</v>
      </c>
      <c r="J551" s="87">
        <f>L543</f>
        <v>80277.279999999999</v>
      </c>
      <c r="K551" s="87">
        <f>SUM(F551:J551)</f>
        <v>821315.82599000004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1479228.8800000001</v>
      </c>
      <c r="G552" s="89">
        <f t="shared" si="42"/>
        <v>724927.4800000001</v>
      </c>
      <c r="H552" s="89">
        <f t="shared" si="42"/>
        <v>276608.32</v>
      </c>
      <c r="I552" s="89">
        <f t="shared" si="42"/>
        <v>5965.75</v>
      </c>
      <c r="J552" s="89">
        <f t="shared" si="42"/>
        <v>151037.41</v>
      </c>
      <c r="K552" s="89">
        <f t="shared" si="42"/>
        <v>2637767.84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933</v>
      </c>
      <c r="G562" s="18">
        <v>217.58</v>
      </c>
      <c r="H562" s="18"/>
      <c r="I562" s="18"/>
      <c r="J562" s="18"/>
      <c r="K562" s="18"/>
      <c r="L562" s="88">
        <f>SUM(F562:K562)</f>
        <v>1150.58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1867</v>
      </c>
      <c r="G564" s="18">
        <f>F564*(0.0765+0.1567)</f>
        <v>435.38440000000003</v>
      </c>
      <c r="H564" s="18"/>
      <c r="I564" s="18"/>
      <c r="J564" s="18"/>
      <c r="K564" s="18"/>
      <c r="L564" s="88">
        <f>SUM(F564:K564)</f>
        <v>2302.3843999999999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2800</v>
      </c>
      <c r="G565" s="89">
        <f t="shared" si="44"/>
        <v>652.96440000000007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3452.9643999999998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2800</v>
      </c>
      <c r="G571" s="89">
        <f t="shared" ref="G571:L571" si="46">G560+G565+G570</f>
        <v>652.96440000000007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3452.9643999999998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47932.98</v>
      </c>
      <c r="H579" s="18">
        <v>60423.74</v>
      </c>
      <c r="I579" s="87">
        <f t="shared" si="47"/>
        <v>108356.72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74482.080000000002</v>
      </c>
      <c r="H582" s="18">
        <v>337817.37</v>
      </c>
      <c r="I582" s="87">
        <f t="shared" si="47"/>
        <v>412299.45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9111.71+9141.89</f>
        <v>18253.599999999999</v>
      </c>
      <c r="I584" s="87">
        <f t="shared" si="47"/>
        <v>18253.599999999999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166170.62+41912.5</f>
        <v>208083.12</v>
      </c>
      <c r="I591" s="18"/>
      <c r="J591" s="18"/>
      <c r="K591" s="104">
        <f t="shared" ref="K591:K597" si="48">SUM(H591:J591)</f>
        <v>208083.12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8293.09+6665.16</f>
        <v>14958.25</v>
      </c>
      <c r="I592" s="18">
        <v>55801.88</v>
      </c>
      <c r="J592" s="18">
        <v>80277.279999999999</v>
      </c>
      <c r="K592" s="104">
        <f t="shared" si="48"/>
        <v>151037.41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30473.58-1170</f>
        <v>29303.58</v>
      </c>
      <c r="K593" s="104">
        <f t="shared" si="48"/>
        <v>29303.58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18437.49-546.95</f>
        <v>17890.54</v>
      </c>
      <c r="J594" s="18">
        <f>27655.76-820.43</f>
        <v>26835.329999999998</v>
      </c>
      <c r="K594" s="104">
        <f t="shared" si="48"/>
        <v>44725.869999999995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4893.06+952.05-597.7</f>
        <v>5247.4100000000008</v>
      </c>
      <c r="I595" s="18">
        <f>5217.29-206.15</f>
        <v>5011.1400000000003</v>
      </c>
      <c r="J595" s="18">
        <f>4298.92-309.23</f>
        <v>3989.69</v>
      </c>
      <c r="K595" s="104">
        <f t="shared" si="48"/>
        <v>14248.240000000002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228288.78</v>
      </c>
      <c r="I598" s="108">
        <f>SUM(I591:I597)</f>
        <v>78703.56</v>
      </c>
      <c r="J598" s="108">
        <f>SUM(J591:J597)</f>
        <v>140405.88</v>
      </c>
      <c r="K598" s="108">
        <f>SUM(K591:K597)</f>
        <v>447398.22000000003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8353.75+1226.33+1847.2+1226.33+1065.43+8315.72+(5477.3+764.45+3337.6-91.98)*0.471+7480+494.99+10010.69+1963.65+857.26-2429.19-368.88-379</f>
        <v>44132.83127000001</v>
      </c>
      <c r="I604" s="18">
        <f>25959.89+1086.95+99.99+(5477.3+764.45+3337.6-91.98)*0.22+4061.11+18029.06+35.98+3432.28*0.4-648.84-673.43-1907.94-1137.81-5140</f>
        <v>43225.09340000002</v>
      </c>
      <c r="J604" s="18">
        <f>33397.38+1595.39+(5477.3+764.45+3337.6-91.98)*0.309+3377.71+25544.42+53.97+3432.28*0.6-9452.22-7710</f>
        <v>51797.615329999986</v>
      </c>
      <c r="K604" s="104">
        <f>SUM(H604:J604)</f>
        <v>139155.54000000004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44132.83127000001</v>
      </c>
      <c r="I605" s="108">
        <f>SUM(I602:I604)</f>
        <v>43225.09340000002</v>
      </c>
      <c r="J605" s="108">
        <f>SUM(J602:J604)</f>
        <v>51797.615329999986</v>
      </c>
      <c r="K605" s="108">
        <f>SUM(K602:K604)</f>
        <v>139155.54000000004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9790.33+687.88</f>
        <v>10478.209999999999</v>
      </c>
      <c r="G611" s="18">
        <f>748.97+926.5+108.11+52.62+47.88</f>
        <v>1884.08</v>
      </c>
      <c r="H611" s="18">
        <v>5244.63</v>
      </c>
      <c r="I611" s="18"/>
      <c r="J611" s="18"/>
      <c r="K611" s="18"/>
      <c r="L611" s="88">
        <f>SUM(F611:K611)</f>
        <v>17606.919999999998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10478.209999999999</v>
      </c>
      <c r="G614" s="108">
        <f t="shared" si="49"/>
        <v>1884.08</v>
      </c>
      <c r="H614" s="108">
        <f t="shared" si="49"/>
        <v>5244.63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17606.919999999998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1274772.74</v>
      </c>
      <c r="H617" s="109">
        <f>SUM(F52)</f>
        <v>1274772.74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34270.639999999999</v>
      </c>
      <c r="H618" s="109">
        <f>SUM(G52)</f>
        <v>34270.639999999999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20901.79</v>
      </c>
      <c r="H619" s="109">
        <f>SUM(H52)</f>
        <v>20901.79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279550.65999999997</v>
      </c>
      <c r="H620" s="109">
        <f>SUM(I52)</f>
        <v>279550.65999999997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491151.2</v>
      </c>
      <c r="H621" s="109">
        <f>SUM(J52)</f>
        <v>491151.2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362710.51</v>
      </c>
      <c r="H622" s="109">
        <f>F476</f>
        <v>362710.50999999978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578.23999999999887</v>
      </c>
      <c r="H623" s="109">
        <f>G476</f>
        <v>578.23999999999069</v>
      </c>
      <c r="I623" s="121" t="s">
        <v>102</v>
      </c>
      <c r="J623" s="109">
        <f t="shared" si="50"/>
        <v>8.1854523159563541E-12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1238.6400000000001</v>
      </c>
      <c r="H624" s="109">
        <f>H476</f>
        <v>1238.6399999999558</v>
      </c>
      <c r="I624" s="121" t="s">
        <v>103</v>
      </c>
      <c r="J624" s="109">
        <f t="shared" si="50"/>
        <v>4.4337866711430252E-11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250597.24</v>
      </c>
      <c r="H625" s="109">
        <f>I476</f>
        <v>250597.24000000022</v>
      </c>
      <c r="I625" s="121" t="s">
        <v>104</v>
      </c>
      <c r="J625" s="109">
        <f t="shared" si="50"/>
        <v>-2.3283064365386963E-10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491151.2</v>
      </c>
      <c r="H626" s="109">
        <f>J476</f>
        <v>491151.19999999995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11603867.870000001</v>
      </c>
      <c r="H627" s="104">
        <f>SUM(F468)</f>
        <v>11603867.869999999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241449.53</v>
      </c>
      <c r="H628" s="104">
        <f>SUM(G468)</f>
        <v>241449.53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301621.46999999997</v>
      </c>
      <c r="H629" s="104">
        <f>SUM(H468)</f>
        <v>301621.46999999997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17740</v>
      </c>
      <c r="H630" s="104">
        <f>SUM(I468)</f>
        <v>17740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202734.54</v>
      </c>
      <c r="H631" s="104">
        <f>SUM(J468)</f>
        <v>202734.53999999998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11702951.710000001</v>
      </c>
      <c r="H632" s="104">
        <f>SUM(F472)</f>
        <v>11702951.710000001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303316.27100000001</v>
      </c>
      <c r="H633" s="104">
        <f>SUM(H472)</f>
        <v>303316.27</v>
      </c>
      <c r="I633" s="140" t="s">
        <v>112</v>
      </c>
      <c r="J633" s="109">
        <f>G633-H633</f>
        <v>9.9999998928979039E-4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107520.72</v>
      </c>
      <c r="H634" s="104">
        <f>I369</f>
        <v>107520.72000000002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241449.53000000003</v>
      </c>
      <c r="H635" s="104">
        <f>SUM(G472)</f>
        <v>241449.53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3912771.5700000003</v>
      </c>
      <c r="H636" s="104">
        <f>SUM(I472)</f>
        <v>3912771.57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202734.53999999998</v>
      </c>
      <c r="H637" s="164">
        <f>SUM(J468)</f>
        <v>202734.53999999998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172850</v>
      </c>
      <c r="H638" s="164">
        <f>SUM(J472)</f>
        <v>172850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491151.2</v>
      </c>
      <c r="H639" s="104">
        <f>SUM(F461)</f>
        <v>491151.2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491151.2</v>
      </c>
      <c r="H642" s="104">
        <f>SUM(I461)</f>
        <v>491151.2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2189.08</v>
      </c>
      <c r="H644" s="104">
        <f>H408</f>
        <v>2189.08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202734.54</v>
      </c>
      <c r="H646" s="104">
        <f>L408</f>
        <v>202734.53999999998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447398.22000000003</v>
      </c>
      <c r="H647" s="104">
        <f>L208+L226+L244</f>
        <v>447398.22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139155.54000000004</v>
      </c>
      <c r="H648" s="104">
        <f>(J257+J338)-(J255+J336)</f>
        <v>139155.53999999998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228288.77999999997</v>
      </c>
      <c r="H649" s="104">
        <f>H598</f>
        <v>228288.78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78703.560000000012</v>
      </c>
      <c r="H650" s="104">
        <f>I598</f>
        <v>78703.56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140405.88</v>
      </c>
      <c r="H651" s="104">
        <f>J598</f>
        <v>140405.88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28088.48</v>
      </c>
      <c r="H652" s="104">
        <f>K263+K345</f>
        <v>28088.48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1.0000020265579224E-3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4831577.3481300008</v>
      </c>
      <c r="G660" s="19">
        <f>(L229+L309+L359)</f>
        <v>2486356.5047000004</v>
      </c>
      <c r="H660" s="19">
        <f>(L247+L328+L360)</f>
        <v>3969273.9281699997</v>
      </c>
      <c r="I660" s="19">
        <f>SUM(F660:H660)</f>
        <v>11287207.781000001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38039.315686317146</v>
      </c>
      <c r="G661" s="19">
        <f>(L359/IF(SUM(L358:L360)=0,1,SUM(L358:L360))*(SUM(G97:G110)))</f>
        <v>30250.999118171654</v>
      </c>
      <c r="H661" s="19">
        <f>(L360/IF(SUM(L358:L360)=0,1,SUM(L358:L360))*(SUM(G97:G110)))</f>
        <v>43937.41519551121</v>
      </c>
      <c r="I661" s="19">
        <f>SUM(F661:H661)</f>
        <v>112227.73000000001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228288.77999999997</v>
      </c>
      <c r="G662" s="19">
        <f>(L226+L306)-(J226+J306)</f>
        <v>78703.560000000012</v>
      </c>
      <c r="H662" s="19">
        <f>(L244+L325)-(J244+J325)</f>
        <v>140405.88</v>
      </c>
      <c r="I662" s="19">
        <f>SUM(F662:H662)</f>
        <v>447398.22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61739.751270000008</v>
      </c>
      <c r="G663" s="199">
        <f>SUM(G575:G587)+SUM(I602:I604)+L612</f>
        <v>165640.15340000001</v>
      </c>
      <c r="H663" s="199">
        <f>SUM(H575:H587)+SUM(J602:J604)+L613</f>
        <v>468292.32532999996</v>
      </c>
      <c r="I663" s="19">
        <f>SUM(F663:H663)</f>
        <v>695672.23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4503509.5011736834</v>
      </c>
      <c r="G664" s="19">
        <f>G660-SUM(G661:G663)</f>
        <v>2211761.792181829</v>
      </c>
      <c r="H664" s="19">
        <f>H660-SUM(H661:H663)</f>
        <v>3316638.3076444883</v>
      </c>
      <c r="I664" s="19">
        <f>I660-SUM(I661:I663)</f>
        <v>10031909.601000002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240.79</v>
      </c>
      <c r="G665" s="248">
        <v>124.76</v>
      </c>
      <c r="H665" s="248">
        <v>175.44</v>
      </c>
      <c r="I665" s="19">
        <f>SUM(F665:H665)</f>
        <v>540.99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18703.060000000001</v>
      </c>
      <c r="G667" s="19">
        <f>ROUND(G664/G665,2)</f>
        <v>17728.13</v>
      </c>
      <c r="H667" s="19">
        <f>ROUND(H664/H665,2)</f>
        <v>18904.689999999999</v>
      </c>
      <c r="I667" s="19">
        <f>ROUND(I664/I665,2)</f>
        <v>18543.61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-3.95</v>
      </c>
      <c r="I670" s="19">
        <f>SUM(F670:H670)</f>
        <v>-3.95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18703.060000000001</v>
      </c>
      <c r="G672" s="19">
        <f>ROUND((G664+G669)/(G665+G670),2)</f>
        <v>17728.13</v>
      </c>
      <c r="H672" s="19">
        <f>ROUND((H664+H669)/(H665+H670),2)</f>
        <v>19340.13</v>
      </c>
      <c r="I672" s="19">
        <f>ROUND((I664+I669)/(I665+I670),2)</f>
        <v>18680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55000000000000004" bottom="0.39" header="0.25" footer="0.21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6" workbookViewId="0">
      <selection activeCell="B19" sqref="B19: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Wilton-Lyndeborough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2894087.25</v>
      </c>
      <c r="C9" s="229">
        <f>'DOE25'!G197+'DOE25'!G215+'DOE25'!G233+'DOE25'!G276+'DOE25'!G295+'DOE25'!G314</f>
        <v>1342685.76</v>
      </c>
    </row>
    <row r="10" spans="1:3" x14ac:dyDescent="0.2">
      <c r="A10" t="s">
        <v>779</v>
      </c>
      <c r="B10" s="240">
        <v>2658069.02</v>
      </c>
      <c r="C10" s="240">
        <v>1289655.45</v>
      </c>
    </row>
    <row r="11" spans="1:3" x14ac:dyDescent="0.2">
      <c r="A11" t="s">
        <v>780</v>
      </c>
      <c r="B11" s="240">
        <v>180901.73</v>
      </c>
      <c r="C11" s="240">
        <v>48762.07</v>
      </c>
    </row>
    <row r="12" spans="1:3" x14ac:dyDescent="0.2">
      <c r="A12" t="s">
        <v>781</v>
      </c>
      <c r="B12" s="240">
        <v>55116.5</v>
      </c>
      <c r="C12" s="240">
        <v>4268.24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2894087.25</v>
      </c>
      <c r="C13" s="231">
        <f>SUM(C10:C12)</f>
        <v>1342685.76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672607.23</v>
      </c>
      <c r="C18" s="229">
        <f>'DOE25'!G198+'DOE25'!G216+'DOE25'!G234+'DOE25'!G277+'DOE25'!G296+'DOE25'!G315</f>
        <v>267565.11</v>
      </c>
    </row>
    <row r="19" spans="1:3" x14ac:dyDescent="0.2">
      <c r="A19" t="s">
        <v>779</v>
      </c>
      <c r="B19" s="240">
        <v>325764.53999999998</v>
      </c>
      <c r="C19" s="240">
        <v>185266.34</v>
      </c>
    </row>
    <row r="20" spans="1:3" x14ac:dyDescent="0.2">
      <c r="A20" t="s">
        <v>780</v>
      </c>
      <c r="B20" s="240">
        <v>346842.69</v>
      </c>
      <c r="C20" s="240">
        <v>82298.77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672607.23</v>
      </c>
      <c r="C22" s="231">
        <f>SUM(C19:C21)</f>
        <v>267565.11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73986</v>
      </c>
      <c r="C36" s="235">
        <f>'DOE25'!G200+'DOE25'!G218+'DOE25'!G236+'DOE25'!G279+'DOE25'!G298+'DOE25'!G317</f>
        <v>13326.05</v>
      </c>
    </row>
    <row r="37" spans="1:3" x14ac:dyDescent="0.2">
      <c r="A37" t="s">
        <v>779</v>
      </c>
      <c r="B37" s="240">
        <f>6644.4+17348.6-275-1100-450-450+17101.28-1042-1004-1138-1100-1271-707.2-1891+32891.72-1700-1000-1700-2728-3097-1060.8-2120-884-3097-2685</f>
        <v>43486</v>
      </c>
      <c r="C37" s="240">
        <f>13326.05-2071.52-574.06</f>
        <v>10680.47</v>
      </c>
    </row>
    <row r="38" spans="1:3" x14ac:dyDescent="0.2">
      <c r="A38" t="s">
        <v>780</v>
      </c>
      <c r="B38" s="240">
        <f>450+450+1100+275+1138+3097+884</f>
        <v>7394</v>
      </c>
      <c r="C38" s="240">
        <f>27.95+6.54+56.78+13.28+24.66+5.76+17.05+3.99+203.87+70.56+16.5+127.12</f>
        <v>574.05999999999995</v>
      </c>
    </row>
    <row r="39" spans="1:3" x14ac:dyDescent="0.2">
      <c r="A39" t="s">
        <v>781</v>
      </c>
      <c r="B39" s="240">
        <f>1891+707.2+1271+1100+1004+1042+2685+2120+1060.8+3097+2728+1700+1000+1700</f>
        <v>23106</v>
      </c>
      <c r="C39" s="240">
        <f>62.25+14.56+68.2+15.95+117.24+27.42+64.6+15.11+78.8+18.43+43.85+10.26+105.4+24.65+361.15+84.47+166.47+38.93+192.01+44.91+54.81+12.82+62+14.5+131.44+30.74+65.77+15.38+105.4+24</f>
        <v>2071.5200000000004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73986</v>
      </c>
      <c r="C40" s="231">
        <f>SUM(C37:C39)</f>
        <v>13326.05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Wilton-Lyndeborough Cooperative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5984699.4399999995</v>
      </c>
      <c r="D5" s="20">
        <f>SUM('DOE25'!L197:L200)+SUM('DOE25'!L215:L218)+SUM('DOE25'!L233:L236)-F5-G5</f>
        <v>5910730.4499999993</v>
      </c>
      <c r="E5" s="243"/>
      <c r="F5" s="255">
        <f>SUM('DOE25'!J197:J200)+SUM('DOE25'!J215:J218)+SUM('DOE25'!J233:J236)</f>
        <v>55357.71</v>
      </c>
      <c r="G5" s="53">
        <f>SUM('DOE25'!K197:K200)+SUM('DOE25'!K215:K218)+SUM('DOE25'!K233:K236)</f>
        <v>18611.28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1167846.24</v>
      </c>
      <c r="D6" s="20">
        <f>'DOE25'!L202+'DOE25'!L220+'DOE25'!L238-F6-G6</f>
        <v>1165722.58</v>
      </c>
      <c r="E6" s="243"/>
      <c r="F6" s="255">
        <f>'DOE25'!J202+'DOE25'!J220+'DOE25'!J238</f>
        <v>1106.6599999999999</v>
      </c>
      <c r="G6" s="53">
        <f>'DOE25'!K202+'DOE25'!K220+'DOE25'!K238</f>
        <v>1017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346759</v>
      </c>
      <c r="D7" s="20">
        <f>'DOE25'!L203+'DOE25'!L221+'DOE25'!L239-F7-G7</f>
        <v>346759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239040.61999999994</v>
      </c>
      <c r="D8" s="243"/>
      <c r="E8" s="20">
        <f>'DOE25'!L204+'DOE25'!L222+'DOE25'!L240-F8-G8-D9-D11</f>
        <v>231445.79999999993</v>
      </c>
      <c r="F8" s="255">
        <f>'DOE25'!J204+'DOE25'!J222+'DOE25'!J240</f>
        <v>0</v>
      </c>
      <c r="G8" s="53">
        <f>'DOE25'!K204+'DOE25'!K222+'DOE25'!K240</f>
        <v>7594.8199999999988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6587.9</v>
      </c>
      <c r="D9" s="244">
        <f>6049.65+538.25</f>
        <v>6587.9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17950</v>
      </c>
      <c r="D10" s="243"/>
      <c r="E10" s="244">
        <v>17950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221293.31</v>
      </c>
      <c r="D11" s="244">
        <f>161995.86+23236.4+2359.2+259.5+292.68+12368.07+18094.87+618.81+194.4+133.14+1740.38</f>
        <v>221293.31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724797.15</v>
      </c>
      <c r="D12" s="20">
        <f>'DOE25'!L205+'DOE25'!L223+'DOE25'!L241-F12-G12</f>
        <v>707505.94</v>
      </c>
      <c r="E12" s="243"/>
      <c r="F12" s="255">
        <f>'DOE25'!J205+'DOE25'!J223+'DOE25'!J241</f>
        <v>2697.7899999999995</v>
      </c>
      <c r="G12" s="53">
        <f>'DOE25'!K205+'DOE25'!K223+'DOE25'!K241</f>
        <v>14593.42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310034.87</v>
      </c>
      <c r="D13" s="243"/>
      <c r="E13" s="20">
        <f>'DOE25'!L206+'DOE25'!L224+'DOE25'!L242-F13-G13</f>
        <v>287715.40000000002</v>
      </c>
      <c r="F13" s="255">
        <f>'DOE25'!J206+'DOE25'!J224+'DOE25'!J242</f>
        <v>2772.4699999999993</v>
      </c>
      <c r="G13" s="53">
        <f>'DOE25'!K206+'DOE25'!K224+'DOE25'!K242</f>
        <v>19547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1006723.72</v>
      </c>
      <c r="D14" s="20">
        <f>'DOE25'!L207+'DOE25'!L225+'DOE25'!L243-F14-G14</f>
        <v>993472.03999999992</v>
      </c>
      <c r="E14" s="243"/>
      <c r="F14" s="255">
        <f>'DOE25'!J207+'DOE25'!J225+'DOE25'!J243</f>
        <v>13251.679999999997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447398.22</v>
      </c>
      <c r="D15" s="20">
        <f>'DOE25'!L208+'DOE25'!L226+'DOE25'!L244-F15-G15</f>
        <v>447398.22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287261.51</v>
      </c>
      <c r="D16" s="243"/>
      <c r="E16" s="20">
        <f>'DOE25'!L209+'DOE25'!L227+'DOE25'!L245-F16-G16</f>
        <v>230919.42</v>
      </c>
      <c r="F16" s="255">
        <f>'DOE25'!J209+'DOE25'!J227+'DOE25'!J245</f>
        <v>56342.09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732421.25</v>
      </c>
      <c r="D25" s="243"/>
      <c r="E25" s="243"/>
      <c r="F25" s="258"/>
      <c r="G25" s="256"/>
      <c r="H25" s="257">
        <f>'DOE25'!L260+'DOE25'!L261+'DOE25'!L341+'DOE25'!L342</f>
        <v>732421.25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144407.58000000002</v>
      </c>
      <c r="D29" s="20">
        <f>'DOE25'!L358+'DOE25'!L359+'DOE25'!L360-'DOE25'!I367-F29-G29</f>
        <v>137361.1</v>
      </c>
      <c r="E29" s="243"/>
      <c r="F29" s="255">
        <f>'DOE25'!J358+'DOE25'!J359+'DOE25'!J360</f>
        <v>6530.63</v>
      </c>
      <c r="G29" s="53">
        <f>'DOE25'!K358+'DOE25'!K359+'DOE25'!K360</f>
        <v>515.85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303316.27100000001</v>
      </c>
      <c r="D31" s="20">
        <f>'DOE25'!L290+'DOE25'!L309+'DOE25'!L328+'DOE25'!L333+'DOE25'!L334+'DOE25'!L335-F31-G31</f>
        <v>295689.13099999999</v>
      </c>
      <c r="E31" s="243"/>
      <c r="F31" s="255">
        <f>'DOE25'!J290+'DOE25'!J309+'DOE25'!J328+'DOE25'!J333+'DOE25'!J334+'DOE25'!J335</f>
        <v>7627.1399999999994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10232519.670999998</v>
      </c>
      <c r="E33" s="246">
        <f>SUM(E5:E31)</f>
        <v>768030.62</v>
      </c>
      <c r="F33" s="246">
        <f>SUM(F5:F31)</f>
        <v>145686.16999999998</v>
      </c>
      <c r="G33" s="246">
        <f>SUM(G5:G31)</f>
        <v>61879.369999999995</v>
      </c>
      <c r="H33" s="246">
        <f>SUM(H5:H31)</f>
        <v>732421.25</v>
      </c>
    </row>
    <row r="35" spans="2:8" ht="12" thickBot="1" x14ac:dyDescent="0.25">
      <c r="B35" s="253" t="s">
        <v>847</v>
      </c>
      <c r="D35" s="254">
        <f>E33</f>
        <v>768030.62</v>
      </c>
      <c r="E35" s="249"/>
    </row>
    <row r="36" spans="2:8" ht="12" thickTop="1" x14ac:dyDescent="0.2">
      <c r="B36" t="s">
        <v>815</v>
      </c>
      <c r="D36" s="20">
        <f>D33</f>
        <v>10232519.670999998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1158472.74</v>
      </c>
      <c r="D8" s="95">
        <f>'DOE25'!G9</f>
        <v>11120</v>
      </c>
      <c r="E8" s="95">
        <f>'DOE25'!H9</f>
        <v>0</v>
      </c>
      <c r="F8" s="95">
        <f>'DOE25'!I9</f>
        <v>279550.65999999997</v>
      </c>
      <c r="G8" s="95">
        <f>'DOE25'!J9</f>
        <v>491151.2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75752.649999999994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0.33</v>
      </c>
      <c r="D12" s="95">
        <f>'DOE25'!G13</f>
        <v>13212.18</v>
      </c>
      <c r="E12" s="95">
        <f>'DOE25'!H13</f>
        <v>20901.79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34837.68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8197.4599999999991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5709.34</v>
      </c>
      <c r="D16" s="95">
        <f>'DOE25'!G17</f>
        <v>1741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1274772.74</v>
      </c>
      <c r="D18" s="41">
        <f>SUM(D8:D17)</f>
        <v>34270.639999999999</v>
      </c>
      <c r="E18" s="41">
        <f>SUM(E8:E17)</f>
        <v>20901.79</v>
      </c>
      <c r="F18" s="41">
        <f>SUM(F8:F17)</f>
        <v>279550.65999999997</v>
      </c>
      <c r="G18" s="41">
        <f>SUM(G8:G17)</f>
        <v>491151.2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30481.61</v>
      </c>
      <c r="E21" s="95">
        <f>'DOE25'!H22</f>
        <v>19663.150000000001</v>
      </c>
      <c r="F21" s="95">
        <f>'DOE25'!I22</f>
        <v>25607.89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7499.99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304551.28999999998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3345.53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30231.62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569779.32999999996</v>
      </c>
      <c r="D29" s="95">
        <f>'DOE25'!G30</f>
        <v>3210.79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912062.23</v>
      </c>
      <c r="D31" s="41">
        <f>SUM(D21:D30)</f>
        <v>33692.400000000001</v>
      </c>
      <c r="E31" s="41">
        <f>SUM(E21:E30)</f>
        <v>19663.150000000001</v>
      </c>
      <c r="F31" s="41">
        <f>SUM(F21:F30)</f>
        <v>28953.42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8197.4599999999991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191716.82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491151.2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-7619.22</v>
      </c>
      <c r="E47" s="95">
        <f>'DOE25'!H48</f>
        <v>1238.6400000000001</v>
      </c>
      <c r="F47" s="95">
        <f>'DOE25'!I48</f>
        <v>250597.24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170993.68999999997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362710.51</v>
      </c>
      <c r="D50" s="41">
        <f>SUM(D34:D49)</f>
        <v>578.23999999999887</v>
      </c>
      <c r="E50" s="41">
        <f>SUM(E34:E49)</f>
        <v>1238.6400000000001</v>
      </c>
      <c r="F50" s="41">
        <f>SUM(F34:F49)</f>
        <v>250597.24</v>
      </c>
      <c r="G50" s="41">
        <f>SUM(G34:G49)</f>
        <v>491151.2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1274772.74</v>
      </c>
      <c r="D51" s="41">
        <f>D50+D31</f>
        <v>34270.639999999999</v>
      </c>
      <c r="E51" s="41">
        <f>E50+E31</f>
        <v>20901.79</v>
      </c>
      <c r="F51" s="41">
        <f>F50+F31</f>
        <v>279550.65999999997</v>
      </c>
      <c r="G51" s="41">
        <f>G50+G31</f>
        <v>491151.2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8440034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40634.479999999996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4288.58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2189.08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105697.10000000002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56219.18</v>
      </c>
      <c r="D61" s="95">
        <f>SUM('DOE25'!G98:G110)</f>
        <v>6530.63</v>
      </c>
      <c r="E61" s="95">
        <f>SUM('DOE25'!H98:H110)</f>
        <v>2033</v>
      </c>
      <c r="F61" s="95">
        <f>SUM('DOE25'!I98:I110)</f>
        <v>17740</v>
      </c>
      <c r="G61" s="95">
        <f>SUM('DOE25'!J98:J110)</f>
        <v>545.46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101142.23999999999</v>
      </c>
      <c r="D62" s="130">
        <f>SUM(D57:D61)</f>
        <v>112227.73000000003</v>
      </c>
      <c r="E62" s="130">
        <f>SUM(E57:E61)</f>
        <v>2033</v>
      </c>
      <c r="F62" s="130">
        <f>SUM(F57:F61)</f>
        <v>17740</v>
      </c>
      <c r="G62" s="130">
        <f>SUM(G57:G61)</f>
        <v>2734.54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8541176.2400000002</v>
      </c>
      <c r="D63" s="22">
        <f>D56+D62</f>
        <v>112227.73000000003</v>
      </c>
      <c r="E63" s="22">
        <f>E56+E62</f>
        <v>2033</v>
      </c>
      <c r="F63" s="22">
        <f>F56+F62</f>
        <v>17740</v>
      </c>
      <c r="G63" s="22">
        <f>G56+G62</f>
        <v>2734.54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1331541.8799999999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1226351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884.81000000000006</v>
      </c>
      <c r="D69" s="95">
        <f>'DOE25'!G120</f>
        <v>0</v>
      </c>
      <c r="E69" s="95">
        <f>'DOE25'!H120</f>
        <v>300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2558777.69</v>
      </c>
      <c r="D70" s="139">
        <f>D69</f>
        <v>0</v>
      </c>
      <c r="E70" s="139">
        <f>E69</f>
        <v>300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131536.39000000001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2018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2873.43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263554.39</v>
      </c>
      <c r="D78" s="130">
        <f>SUM(D72:D77)</f>
        <v>2873.43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2822332.08</v>
      </c>
      <c r="D81" s="130">
        <f>SUM(D79:D80)+D78+D70</f>
        <v>2873.43</v>
      </c>
      <c r="E81" s="130">
        <f>SUM(E79:E80)+E78+E70</f>
        <v>300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5903.6399999999994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83659.55</v>
      </c>
      <c r="D88" s="95">
        <f>SUM('DOE25'!G153:G161)</f>
        <v>98259.889999999985</v>
      </c>
      <c r="E88" s="95">
        <f>SUM('DOE25'!H153:H161)</f>
        <v>293384.82999999996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83659.55</v>
      </c>
      <c r="D91" s="131">
        <f>SUM(D85:D90)</f>
        <v>98259.889999999985</v>
      </c>
      <c r="E91" s="131">
        <f>SUM(E85:E90)</f>
        <v>299288.46999999997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28088.48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-7500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164200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156700</v>
      </c>
      <c r="D103" s="86">
        <f>SUM(D93:D102)</f>
        <v>28088.48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11603867.870000001</v>
      </c>
      <c r="D104" s="86">
        <f>D63+D81+D91+D103</f>
        <v>241449.53</v>
      </c>
      <c r="E104" s="86">
        <f>E63+E81+E91+E103</f>
        <v>301621.46999999997</v>
      </c>
      <c r="F104" s="86">
        <f>F63+F81+F91+F103</f>
        <v>17740</v>
      </c>
      <c r="G104" s="86">
        <f>G63+G81+G103</f>
        <v>202734.54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4349074.6099999994</v>
      </c>
      <c r="D109" s="24" t="s">
        <v>289</v>
      </c>
      <c r="E109" s="95">
        <f>('DOE25'!L276)+('DOE25'!L295)+('DOE25'!L314)</f>
        <v>120112.25000000001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1474757.04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1222.7599999999984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159645.03</v>
      </c>
      <c r="D112" s="24" t="s">
        <v>289</v>
      </c>
      <c r="E112" s="95">
        <f>+('DOE25'!L279)+('DOE25'!L298)+('DOE25'!L317)</f>
        <v>1061.06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5984699.4399999995</v>
      </c>
      <c r="D115" s="86">
        <f>SUM(D109:D114)</f>
        <v>0</v>
      </c>
      <c r="E115" s="86">
        <f>SUM(E109:E114)</f>
        <v>121173.31000000001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1167846.24</v>
      </c>
      <c r="D118" s="24" t="s">
        <v>289</v>
      </c>
      <c r="E118" s="95">
        <f>+('DOE25'!L281)+('DOE25'!L300)+('DOE25'!L319)</f>
        <v>122318.00000000001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346759</v>
      </c>
      <c r="D119" s="24" t="s">
        <v>289</v>
      </c>
      <c r="E119" s="95">
        <f>+('DOE25'!L282)+('DOE25'!L301)+('DOE25'!L320)</f>
        <v>52380.691000000006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466921.82999999996</v>
      </c>
      <c r="D120" s="24" t="s">
        <v>289</v>
      </c>
      <c r="E120" s="95">
        <f>+('DOE25'!L283)+('DOE25'!L302)+('DOE25'!L321)</f>
        <v>2033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724797.15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310034.87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1006723.72</v>
      </c>
      <c r="D123" s="24" t="s">
        <v>289</v>
      </c>
      <c r="E123" s="95">
        <f>+('DOE25'!L286)+('DOE25'!L305)+('DOE25'!L324)</f>
        <v>3732.2799999999997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447398.22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287261.51</v>
      </c>
      <c r="D125" s="24" t="s">
        <v>289</v>
      </c>
      <c r="E125" s="95">
        <f>+('DOE25'!L288)+('DOE25'!L307)+('DOE25'!L326)</f>
        <v>1678.99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241449.53000000003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4757742.5399999991</v>
      </c>
      <c r="D128" s="86">
        <f>SUM(D118:D127)</f>
        <v>241449.53000000003</v>
      </c>
      <c r="E128" s="86">
        <f>SUM(E118:E127)</f>
        <v>182142.96100000001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3912771.5700000003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407421.25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28088.48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202734.53999999998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-2734.539999999979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960509.73</v>
      </c>
      <c r="D144" s="141">
        <f>SUM(D130:D143)</f>
        <v>0</v>
      </c>
      <c r="E144" s="141">
        <f>SUM(E130:E143)</f>
        <v>0</v>
      </c>
      <c r="F144" s="141">
        <f>SUM(F130:F143)</f>
        <v>3912771.5700000003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11702951.709999999</v>
      </c>
      <c r="D145" s="86">
        <f>(D115+D128+D144)</f>
        <v>241449.53000000003</v>
      </c>
      <c r="E145" s="86">
        <f>(E115+E128+E144)</f>
        <v>303316.27100000001</v>
      </c>
      <c r="F145" s="86">
        <f>(F115+F128+F144)</f>
        <v>3912771.5700000003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07/99</v>
      </c>
      <c r="C152" s="152" t="str">
        <f>'DOE25'!G491</f>
        <v>07/14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6476775</v>
      </c>
      <c r="C154" s="137">
        <f>'DOE25'!G493</f>
        <v>7640000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1605000</v>
      </c>
      <c r="C156" s="137">
        <f>'DOE25'!G495</f>
        <v>7640000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9245000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1280000</v>
      </c>
      <c r="C159" s="137">
        <f>'DOE25'!G498</f>
        <v>7640000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8920000</v>
      </c>
    </row>
    <row r="160" spans="1:9" x14ac:dyDescent="0.2">
      <c r="A160" s="22" t="s">
        <v>36</v>
      </c>
      <c r="B160" s="137">
        <f>'DOE25'!F499</f>
        <v>134400</v>
      </c>
      <c r="C160" s="137">
        <f>'DOE25'!G499</f>
        <v>3545150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3679550</v>
      </c>
    </row>
    <row r="161" spans="1:7" x14ac:dyDescent="0.2">
      <c r="A161" s="22" t="s">
        <v>37</v>
      </c>
      <c r="B161" s="137">
        <f>'DOE25'!F500</f>
        <v>1414400</v>
      </c>
      <c r="C161" s="137">
        <f>'DOE25'!G500</f>
        <v>11185150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12599550</v>
      </c>
    </row>
    <row r="162" spans="1:7" x14ac:dyDescent="0.2">
      <c r="A162" s="22" t="s">
        <v>38</v>
      </c>
      <c r="B162" s="137">
        <f>'DOE25'!F501</f>
        <v>320000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320000</v>
      </c>
    </row>
    <row r="163" spans="1:7" x14ac:dyDescent="0.2">
      <c r="A163" s="22" t="s">
        <v>39</v>
      </c>
      <c r="B163" s="137">
        <f>'DOE25'!F502</f>
        <v>58800</v>
      </c>
      <c r="C163" s="137">
        <f>'DOE25'!G502</f>
        <v>331690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390490</v>
      </c>
    </row>
    <row r="164" spans="1:7" x14ac:dyDescent="0.2">
      <c r="A164" s="22" t="s">
        <v>246</v>
      </c>
      <c r="B164" s="137">
        <f>'DOE25'!F503</f>
        <v>378800</v>
      </c>
      <c r="C164" s="137">
        <f>'DOE25'!G503</f>
        <v>331690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710490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Wilton-Lyndeborough Cooperative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18703</v>
      </c>
    </row>
    <row r="5" spans="1:4" x14ac:dyDescent="0.2">
      <c r="B5" t="s">
        <v>704</v>
      </c>
      <c r="C5" s="179">
        <f>IF('DOE25'!G665+'DOE25'!G670=0,0,ROUND('DOE25'!G672,0))</f>
        <v>17728</v>
      </c>
    </row>
    <row r="6" spans="1:4" x14ac:dyDescent="0.2">
      <c r="B6" t="s">
        <v>62</v>
      </c>
      <c r="C6" s="179">
        <f>IF('DOE25'!H665+'DOE25'!H670=0,0,ROUND('DOE25'!H672,0))</f>
        <v>19340</v>
      </c>
    </row>
    <row r="7" spans="1:4" x14ac:dyDescent="0.2">
      <c r="B7" t="s">
        <v>705</v>
      </c>
      <c r="C7" s="179">
        <f>IF('DOE25'!I665+'DOE25'!I670=0,0,ROUND('DOE25'!I672,0))</f>
        <v>18680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4469187</v>
      </c>
      <c r="D10" s="182">
        <f>ROUND((C10/$C$28)*100,1)</f>
        <v>38.6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1474757</v>
      </c>
      <c r="D11" s="182">
        <f>ROUND((C11/$C$28)*100,1)</f>
        <v>12.7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1223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160706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1290164</v>
      </c>
      <c r="D15" s="182">
        <f t="shared" ref="D15:D27" si="0">ROUND((C15/$C$28)*100,1)</f>
        <v>11.1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399140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757895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724797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310035</v>
      </c>
      <c r="D19" s="182">
        <f t="shared" si="0"/>
        <v>2.7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1010456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447398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407421</v>
      </c>
      <c r="D25" s="182">
        <f t="shared" si="0"/>
        <v>3.5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129222.26999999997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11582401.27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3912772</v>
      </c>
    </row>
    <row r="30" spans="1:4" x14ac:dyDescent="0.2">
      <c r="B30" s="187" t="s">
        <v>729</v>
      </c>
      <c r="C30" s="180">
        <f>SUM(C28:C29)</f>
        <v>15495173.27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8440034</v>
      </c>
      <c r="D35" s="182">
        <f t="shared" ref="D35:D40" si="1">ROUND((C35/$C$41)*100,1)</f>
        <v>71.099999999999994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123649.77999999933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2557893</v>
      </c>
      <c r="D37" s="182">
        <f t="shared" si="1"/>
        <v>21.5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267613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481208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11870397.779999999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Wilton-Lyndeborough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2016-09-16T12:57:10Z</cp:lastPrinted>
  <dcterms:created xsi:type="dcterms:W3CDTF">1997-12-04T19:04:30Z</dcterms:created>
  <dcterms:modified xsi:type="dcterms:W3CDTF">2016-12-01T18:52:14Z</dcterms:modified>
</cp:coreProperties>
</file>