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800" windowHeight="1243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3" i="1" l="1"/>
  <c r="H234" i="1"/>
  <c r="H1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D12" i="13" s="1"/>
  <c r="C12" i="13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H662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C12" i="10" s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H25" i="13" s="1"/>
  <c r="C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D85" i="2" s="1"/>
  <c r="G162" i="1"/>
  <c r="H147" i="1"/>
  <c r="H162" i="1"/>
  <c r="H169" i="1" s="1"/>
  <c r="I147" i="1"/>
  <c r="F85" i="2" s="1"/>
  <c r="I162" i="1"/>
  <c r="C19" i="10"/>
  <c r="L250" i="1"/>
  <c r="L332" i="1"/>
  <c r="L254" i="1"/>
  <c r="C25" i="10"/>
  <c r="L268" i="1"/>
  <c r="L269" i="1"/>
  <c r="L349" i="1"/>
  <c r="L350" i="1"/>
  <c r="E143" i="2" s="1"/>
  <c r="I665" i="1"/>
  <c r="I670" i="1"/>
  <c r="L229" i="1"/>
  <c r="F661" i="1"/>
  <c r="G662" i="1"/>
  <c r="I669" i="1"/>
  <c r="C42" i="10"/>
  <c r="C32" i="10"/>
  <c r="L374" i="1"/>
  <c r="L375" i="1"/>
  <c r="C29" i="10" s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K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2" i="2"/>
  <c r="C113" i="2"/>
  <c r="E113" i="2"/>
  <c r="E114" i="2"/>
  <c r="D115" i="2"/>
  <c r="F115" i="2"/>
  <c r="G115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H32" i="1"/>
  <c r="I32" i="1"/>
  <c r="H617" i="1"/>
  <c r="G52" i="1"/>
  <c r="H618" i="1" s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G192" i="1" s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G641" i="1" s="1"/>
  <c r="F452" i="1"/>
  <c r="G452" i="1"/>
  <c r="H452" i="1"/>
  <c r="F460" i="1"/>
  <c r="F461" i="1" s="1"/>
  <c r="H639" i="1" s="1"/>
  <c r="G460" i="1"/>
  <c r="H460" i="1"/>
  <c r="H461" i="1" s="1"/>
  <c r="H641" i="1" s="1"/>
  <c r="G461" i="1"/>
  <c r="F470" i="1"/>
  <c r="G470" i="1"/>
  <c r="H470" i="1"/>
  <c r="I470" i="1"/>
  <c r="J470" i="1"/>
  <c r="F474" i="1"/>
  <c r="G474" i="1"/>
  <c r="G476" i="1" s="1"/>
  <c r="H623" i="1" s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H545" i="1" s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K545" i="1" s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I571" i="1" s="1"/>
  <c r="J560" i="1"/>
  <c r="K560" i="1"/>
  <c r="L562" i="1"/>
  <c r="L563" i="1"/>
  <c r="L565" i="1" s="1"/>
  <c r="L564" i="1"/>
  <c r="F565" i="1"/>
  <c r="G565" i="1"/>
  <c r="H565" i="1"/>
  <c r="I565" i="1"/>
  <c r="J565" i="1"/>
  <c r="J571" i="1" s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G640" i="1"/>
  <c r="H640" i="1"/>
  <c r="G643" i="1"/>
  <c r="J643" i="1" s="1"/>
  <c r="H643" i="1"/>
  <c r="G644" i="1"/>
  <c r="G645" i="1"/>
  <c r="G650" i="1"/>
  <c r="G651" i="1"/>
  <c r="G652" i="1"/>
  <c r="H652" i="1"/>
  <c r="G653" i="1"/>
  <c r="H653" i="1"/>
  <c r="G654" i="1"/>
  <c r="H654" i="1"/>
  <c r="H655" i="1"/>
  <c r="J655" i="1" s="1"/>
  <c r="L256" i="1"/>
  <c r="G164" i="2"/>
  <c r="C26" i="10"/>
  <c r="L328" i="1"/>
  <c r="L351" i="1"/>
  <c r="A31" i="12"/>
  <c r="C70" i="2"/>
  <c r="D18" i="13"/>
  <c r="C18" i="13" s="1"/>
  <c r="D17" i="13"/>
  <c r="C17" i="13" s="1"/>
  <c r="D6" i="13"/>
  <c r="C6" i="13" s="1"/>
  <c r="F78" i="2"/>
  <c r="F81" i="2" s="1"/>
  <c r="D50" i="2"/>
  <c r="F18" i="2"/>
  <c r="E103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J257" i="1"/>
  <c r="J271" i="1" s="1"/>
  <c r="H112" i="1"/>
  <c r="L433" i="1"/>
  <c r="I169" i="1"/>
  <c r="F169" i="1"/>
  <c r="J140" i="1"/>
  <c r="F571" i="1"/>
  <c r="G22" i="2"/>
  <c r="H552" i="1"/>
  <c r="H140" i="1"/>
  <c r="L401" i="1"/>
  <c r="C139" i="2" s="1"/>
  <c r="A13" i="12"/>
  <c r="F22" i="13"/>
  <c r="J640" i="1"/>
  <c r="H571" i="1"/>
  <c r="F338" i="1"/>
  <c r="F352" i="1" s="1"/>
  <c r="H192" i="1"/>
  <c r="L309" i="1"/>
  <c r="E16" i="13"/>
  <c r="J645" i="1"/>
  <c r="I545" i="1"/>
  <c r="G36" i="2"/>
  <c r="G545" i="1"/>
  <c r="C22" i="13"/>
  <c r="A40" i="12" l="1"/>
  <c r="J623" i="1"/>
  <c r="C16" i="10"/>
  <c r="C15" i="10"/>
  <c r="C13" i="10"/>
  <c r="E111" i="2"/>
  <c r="L290" i="1"/>
  <c r="D31" i="13" s="1"/>
  <c r="C31" i="13" s="1"/>
  <c r="J552" i="1"/>
  <c r="K549" i="1"/>
  <c r="F552" i="1"/>
  <c r="J651" i="1"/>
  <c r="J644" i="1"/>
  <c r="J476" i="1"/>
  <c r="H626" i="1" s="1"/>
  <c r="H476" i="1"/>
  <c r="H624" i="1" s="1"/>
  <c r="F476" i="1"/>
  <c r="H622" i="1" s="1"/>
  <c r="J622" i="1" s="1"/>
  <c r="J639" i="1"/>
  <c r="I369" i="1"/>
  <c r="H634" i="1" s="1"/>
  <c r="J634" i="1" s="1"/>
  <c r="G661" i="1"/>
  <c r="I661" i="1" s="1"/>
  <c r="H33" i="13"/>
  <c r="C11" i="10"/>
  <c r="H647" i="1"/>
  <c r="C10" i="10"/>
  <c r="H257" i="1"/>
  <c r="H271" i="1" s="1"/>
  <c r="L247" i="1"/>
  <c r="H660" i="1" s="1"/>
  <c r="H664" i="1" s="1"/>
  <c r="E8" i="13"/>
  <c r="C8" i="13" s="1"/>
  <c r="D15" i="13"/>
  <c r="C15" i="13" s="1"/>
  <c r="G649" i="1"/>
  <c r="J649" i="1" s="1"/>
  <c r="F662" i="1"/>
  <c r="I662" i="1" s="1"/>
  <c r="C21" i="10"/>
  <c r="D5" i="13"/>
  <c r="C5" i="13" s="1"/>
  <c r="C109" i="2"/>
  <c r="C17" i="10"/>
  <c r="C124" i="2"/>
  <c r="C120" i="2"/>
  <c r="C16" i="13"/>
  <c r="C122" i="2"/>
  <c r="C18" i="10"/>
  <c r="D7" i="13"/>
  <c r="C7" i="13" s="1"/>
  <c r="C118" i="2"/>
  <c r="F112" i="1"/>
  <c r="D62" i="2"/>
  <c r="C35" i="10"/>
  <c r="J641" i="1"/>
  <c r="K605" i="1"/>
  <c r="G648" i="1" s="1"/>
  <c r="K598" i="1"/>
  <c r="G647" i="1" s="1"/>
  <c r="J647" i="1" s="1"/>
  <c r="L570" i="1"/>
  <c r="K571" i="1"/>
  <c r="L560" i="1"/>
  <c r="L427" i="1"/>
  <c r="L419" i="1"/>
  <c r="L434" i="1" s="1"/>
  <c r="G638" i="1" s="1"/>
  <c r="J638" i="1" s="1"/>
  <c r="G338" i="1"/>
  <c r="G352" i="1" s="1"/>
  <c r="K257" i="1"/>
  <c r="K271" i="1" s="1"/>
  <c r="G257" i="1"/>
  <c r="G271" i="1" s="1"/>
  <c r="F192" i="1"/>
  <c r="H52" i="1"/>
  <c r="H619" i="1" s="1"/>
  <c r="J619" i="1" s="1"/>
  <c r="G624" i="1"/>
  <c r="J617" i="1"/>
  <c r="B161" i="2"/>
  <c r="G161" i="2" s="1"/>
  <c r="K500" i="1"/>
  <c r="G157" i="2"/>
  <c r="E115" i="2"/>
  <c r="C91" i="2"/>
  <c r="C78" i="2"/>
  <c r="C81" i="2" s="1"/>
  <c r="C62" i="2"/>
  <c r="C63" i="2" s="1"/>
  <c r="D63" i="2"/>
  <c r="E128" i="2"/>
  <c r="J49" i="1"/>
  <c r="G48" i="2" s="1"/>
  <c r="I460" i="1"/>
  <c r="D31" i="2"/>
  <c r="J22" i="1"/>
  <c r="I452" i="1"/>
  <c r="E31" i="2"/>
  <c r="J10" i="1"/>
  <c r="G9" i="2" s="1"/>
  <c r="I446" i="1"/>
  <c r="G642" i="1" s="1"/>
  <c r="C18" i="2"/>
  <c r="D18" i="2"/>
  <c r="D91" i="2"/>
  <c r="K550" i="1"/>
  <c r="K552" i="1" s="1"/>
  <c r="L544" i="1"/>
  <c r="L534" i="1"/>
  <c r="L524" i="1"/>
  <c r="L545" i="1" s="1"/>
  <c r="J338" i="1"/>
  <c r="J352" i="1" s="1"/>
  <c r="F271" i="1"/>
  <c r="D127" i="2"/>
  <c r="D128" i="2" s="1"/>
  <c r="D145" i="2" s="1"/>
  <c r="C123" i="2"/>
  <c r="C121" i="2"/>
  <c r="C119" i="2"/>
  <c r="C112" i="2"/>
  <c r="C110" i="2"/>
  <c r="L211" i="1"/>
  <c r="L362" i="1"/>
  <c r="C27" i="10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C36" i="10"/>
  <c r="G63" i="2"/>
  <c r="G104" i="2" s="1"/>
  <c r="J618" i="1"/>
  <c r="G667" i="1"/>
  <c r="G42" i="2"/>
  <c r="J51" i="1"/>
  <c r="G16" i="2"/>
  <c r="J19" i="1"/>
  <c r="G621" i="1" s="1"/>
  <c r="F33" i="13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C104" i="2"/>
  <c r="J652" i="1"/>
  <c r="G571" i="1"/>
  <c r="I434" i="1"/>
  <c r="G434" i="1"/>
  <c r="I663" i="1"/>
  <c r="E33" i="13" l="1"/>
  <c r="D35" i="13" s="1"/>
  <c r="E145" i="2"/>
  <c r="F660" i="1"/>
  <c r="I660" i="1" s="1"/>
  <c r="I664" i="1" s="1"/>
  <c r="I672" i="1" s="1"/>
  <c r="C7" i="10" s="1"/>
  <c r="G635" i="1"/>
  <c r="J635" i="1" s="1"/>
  <c r="J624" i="1"/>
  <c r="I461" i="1"/>
  <c r="H642" i="1" s="1"/>
  <c r="J642" i="1" s="1"/>
  <c r="H672" i="1"/>
  <c r="C6" i="10" s="1"/>
  <c r="H667" i="1"/>
  <c r="C28" i="10"/>
  <c r="D23" i="10" s="1"/>
  <c r="F193" i="1"/>
  <c r="G627" i="1" s="1"/>
  <c r="J627" i="1" s="1"/>
  <c r="L408" i="1"/>
  <c r="C115" i="2"/>
  <c r="C128" i="2"/>
  <c r="L257" i="1"/>
  <c r="L271" i="1" s="1"/>
  <c r="G632" i="1" s="1"/>
  <c r="J632" i="1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F664" i="1" l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C145" i="2"/>
  <c r="G637" i="1"/>
  <c r="J637" i="1" s="1"/>
  <c r="H646" i="1"/>
  <c r="J646" i="1" s="1"/>
  <c r="F672" i="1"/>
  <c r="C4" i="10" s="1"/>
  <c r="F667" i="1"/>
  <c r="I667" i="1"/>
  <c r="C41" i="10"/>
  <c r="D38" i="10" s="1"/>
  <c r="H656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<sst xmlns="http://schemas.openxmlformats.org/spreadsheetml/2006/main" count="3957" uniqueCount="915">
  <si>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</si>
  <si>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</si>
  <si>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</si>
  <si>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</si>
  <si>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</si>
  <si>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</si>
  <si>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</si>
  <si>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</si>
  <si>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</si>
  <si>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</si>
  <si>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</si>
  <si>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</si>
  <si>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</si>
  <si>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</si>
  <si>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</si>
  <si>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</si>
  <si>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</si>
  <si>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</si>
  <si>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</si>
  <si>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</si>
  <si>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</si>
  <si>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</si>
  <si>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</si>
  <si>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</si>
  <si>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</si>
  <si>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</si>
  <si>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</si>
  <si>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</si>
  <si>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</si>
  <si>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</si>
  <si>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</si>
  <si>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</si>
  <si>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</si>
  <si>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</si>
  <si>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</si>
  <si>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</si>
  <si>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</si>
  <si>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</si>
  <si>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</si>
  <si>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</si>
  <si>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</si>
  <si>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</si>
  <si>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</si>
  <si>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</si>
  <si>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</si>
  <si>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</si>
  <si>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</si>
  <si>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</si>
  <si>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</si>
  <si>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</si>
  <si>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</si>
  <si>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</si>
  <si>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</si>
  <si>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</si>
  <si>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</si>
  <si>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</si>
  <si>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</si>
  <si>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</si>
  <si>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</si>
  <si>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</si>
  <si>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</si>
  <si>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</si>
  <si>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</si>
  <si>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</si>
  <si>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</si>
  <si>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</si>
  <si>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</si>
  <si>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</si>
  <si>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</si>
  <si>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</si>
  <si>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</si>
  <si>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</si>
  <si>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</si>
  <si>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</si>
  <si>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</si>
  <si>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</si>
  <si>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</si>
  <si>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</si>
  <si>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</si>
  <si>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</si>
  <si>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</si>
  <si>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</si>
  <si>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</si>
  <si>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</si>
  <si>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</si>
  <si>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</si>
  <si>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</si>
  <si>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</si>
  <si>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</si>
  <si>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</si>
  <si>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</si>
  <si>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</si>
  <si>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</si>
  <si>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</si>
  <si>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</si>
  <si>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</si>
  <si>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</si>
  <si>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</si>
  <si>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</si>
  <si>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</si>
  <si>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</si>
  <si>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</si>
  <si>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</si>
  <si>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</si>
  <si>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</si>
  <si>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</si>
  <si>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</si>
  <si>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</si>
  <si>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</si>
  <si>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</si>
  <si>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</si>
  <si>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</si>
  <si>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</si>
  <si>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</si>
  <si>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</si>
  <si>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</si>
  <si>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</si>
  <si>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</si>
  <si>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</si>
  <si>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</si>
  <si>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</si>
  <si>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</si>
  <si>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</si>
  <si>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</si>
  <si>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</si>
  <si>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</si>
  <si>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</si>
  <si>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</si>
  <si>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</si>
  <si>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</si>
  <si>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</si>
  <si>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</si>
  <si>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</si>
  <si>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</si>
  <si>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</si>
  <si>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</si>
  <si>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</si>
  <si>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</si>
  <si>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</si>
  <si>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</si>
  <si>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</si>
  <si>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</si>
  <si>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</si>
  <si>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</si>
  <si>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</si>
  <si>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</si>
  <si>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</si>
  <si>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</si>
  <si>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</si>
  <si>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</si>
  <si>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</si>
  <si>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</si>
  <si>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</si>
  <si>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</si>
  <si>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</si>
  <si>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</si>
  <si>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</si>
  <si>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</si>
  <si>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</si>
  <si>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</si>
  <si>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</si>
  <si>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</si>
  <si>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</si>
  <si>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</si>
  <si>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</si>
  <si>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</si>
  <si>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</si>
  <si>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</si>
  <si>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</si>
  <si>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</si>
  <si>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</si>
  <si>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</si>
  <si>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</si>
  <si>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</si>
  <si>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</si>
  <si>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</si>
  <si>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</si>
  <si>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</si>
  <si>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</si>
  <si>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</si>
  <si>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</si>
  <si>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</si>
  <si>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</si>
  <si>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</si>
  <si>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</si>
  <si>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</si>
  <si>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</si>
  <si>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</si>
  <si>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</si>
  <si>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</si>
  <si>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</si>
  <si>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</si>
  <si>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</si>
  <si>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</si>
  <si>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</si>
  <si>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</si>
  <si>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</si>
  <si>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</si>
  <si>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</si>
  <si>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</si>
  <si>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</si>
  <si>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</si>
  <si>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</si>
  <si>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</si>
  <si>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</si>
  <si>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</si>
  <si>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</si>
  <si>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</si>
  <si>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</si>
  <si>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</si>
  <si>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</si>
  <si>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</si>
  <si>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</si>
  <si>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</si>
  <si>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</si>
  <si>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</si>
  <si>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</si>
  <si>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</si>
  <si>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</si>
  <si>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</si>
  <si>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</si>
  <si>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</si>
  <si>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</si>
  <si>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</si>
  <si>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</si>
  <si>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</si>
  <si>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</si>
  <si>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</si>
  <si>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</si>
  <si>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</si>
  <si>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</si>
  <si>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</si>
  <si>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</si>
  <si>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</si>
  <si>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</si>
  <si>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</si>
  <si>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</si>
  <si>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</si>
  <si>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</si>
  <si>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</si>
  <si>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</si>
  <si>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</si>
  <si>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</si>
  <si>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</si>
  <si>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</si>
  <si>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</si>
  <si>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</si>
  <si>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</si>
  <si>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</si>
  <si>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</si>
  <si>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</si>
  <si>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</si>
  <si>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</si>
  <si>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</si>
  <si>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</si>
  <si>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</si>
  <si>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</si>
  <si>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</si>
  <si>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</si>
  <si>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</si>
  <si>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</si>
  <si>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</si>
  <si>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</si>
  <si>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</si>
  <si>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</si>
  <si>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</si>
  <si>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</si>
  <si>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</si>
  <si>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</si>
  <si>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</si>
  <si>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</si>
  <si>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</si>
  <si>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</si>
  <si>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</si>
  <si>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</si>
  <si>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</si>
  <si>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</si>
  <si>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</si>
  <si>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</si>
  <si>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</si>
  <si>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</si>
  <si>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</si>
  <si>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</si>
  <si>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</si>
  <si>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</si>
  <si>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</si>
  <si>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</si>
  <si>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</si>
  <si>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</si>
  <si>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</si>
  <si>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</si>
  <si>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</si>
  <si>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</si>
  <si>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</si>
  <si>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</si>
  <si>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</si>
  <si>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</si>
  <si>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</si>
  <si>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</si>
  <si>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</si>
  <si>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</si>
  <si>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</si>
  <si>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</si>
  <si>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</si>
  <si>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</si>
  <si>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</si>
  <si>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</si>
  <si>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</si>
  <si>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</si>
  <si>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</si>
  <si>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</si>
  <si>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</si>
  <si>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</si>
  <si>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</si>
  <si>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</si>
  <si>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</si>
  <si>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</si>
  <si>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</si>
  <si>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</si>
  <si>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</si>
  <si>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</si>
  <si>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</si>
  <si>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</si>
  <si>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</si>
  <si>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</si>
  <si>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</si>
  <si>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</si>
  <si>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</si>
  <si>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</si>
  <si>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</si>
  <si>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</si>
  <si>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</si>
  <si>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</si>
  <si>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</si>
  <si>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</si>
  <si>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</si>
  <si>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</si>
  <si>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</si>
  <si>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</si>
  <si>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</si>
  <si>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</si>
  <si>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</si>
  <si>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</si>
  <si>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</si>
  <si>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</si>
  <si>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</si>
  <si>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</si>
  <si>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</si>
  <si>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</si>
  <si>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</si>
  <si>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</si>
  <si>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</si>
  <si>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</si>
  <si>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</si>
  <si>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</si>
  <si>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</si>
  <si>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</si>
  <si>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</si>
  <si>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</si>
  <si>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</si>
  <si>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</si>
  <si>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</si>
  <si>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</si>
  <si>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</si>
  <si>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</si>
  <si>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</si>
  <si>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</si>
  <si>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</si>
  <si>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</si>
  <si>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</si>
  <si>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</si>
  <si>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</si>
  <si>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</si>
  <si>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</si>
  <si>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</si>
  <si>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</si>
  <si>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</si>
  <si>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</si>
  <si>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</si>
  <si>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</si>
  <si>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</si>
  <si>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</si>
  <si>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</si>
  <si>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</si>
  <si>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</si>
  <si>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</si>
  <si>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</si>
  <si>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</si>
  <si>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</si>
  <si>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</si>
  <si>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</si>
  <si>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</si>
  <si>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</si>
  <si>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</si>
  <si>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</si>
  <si>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</si>
  <si>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</si>
  <si>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</si>
  <si>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</si>
  <si>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</si>
  <si>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</si>
  <si>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</si>
  <si>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</si>
  <si>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</si>
  <si>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</si>
  <si>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</si>
  <si>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</si>
  <si>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</si>
  <si>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</si>
  <si>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</si>
  <si>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</si>
  <si>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</si>
  <si>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</si>
  <si>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</si>
  <si>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</si>
  <si>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</si>
  <si>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</si>
  <si>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</si>
  <si>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</si>
  <si>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</si>
  <si>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</si>
  <si>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</si>
  <si>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</si>
  <si>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</si>
  <si>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</si>
  <si>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</si>
  <si>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</si>
  <si>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</si>
  <si>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</si>
  <si>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</si>
  <si>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</si>
  <si>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</si>
  <si>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</si>
  <si>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</si>
  <si>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</si>
  <si>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</si>
  <si>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</si>
  <si>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</si>
  <si>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</si>
  <si>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</si>
  <si>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</si>
  <si>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</si>
  <si>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</si>
  <si>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</si>
  <si>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</si>
  <si>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</si>
  <si>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</si>
  <si>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</si>
  <si>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</si>
  <si>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</si>
  <si>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</si>
  <si>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</si>
  <si>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</si>
  <si>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</si>
  <si>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</si>
  <si>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</si>
  <si>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</si>
  <si>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</si>
  <si>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</si>
  <si>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</si>
  <si>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</si>
  <si>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</si>
  <si>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</si>
  <si>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</si>
  <si>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</si>
  <si>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</si>
  <si>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</si>
  <si>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</si>
  <si>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</si>
  <si>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</si>
  <si>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</si>
  <si>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</si>
  <si>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</si>
  <si>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</si>
  <si>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</si>
  <si>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</si>
  <si>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</si>
  <si>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</si>
  <si>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</si>
  <si>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</si>
  <si>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</si>
  <si>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</si>
  <si>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</si>
  <si>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</si>
  <si>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</si>
  <si>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</si>
  <si>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</si>
  <si>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</si>
  <si>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</si>
  <si>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</si>
  <si>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</si>
  <si>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</si>
  <si>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</si>
  <si>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</si>
  <si>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</si>
  <si>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</si>
  <si>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</si>
  <si>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</si>
  <si>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</si>
  <si>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</si>
  <si>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</si>
  <si>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</si>
  <si>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</si>
  <si>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</si>
  <si>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</si>
  <si>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</si>
  <si>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</si>
  <si>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</si>
  <si>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</si>
  <si>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</si>
  <si>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</si>
  <si>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</si>
  <si>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</si>
  <si>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</si>
  <si>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</si>
  <si>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</si>
  <si>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</si>
  <si>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</si>
  <si>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</si>
  <si>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</si>
  <si>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</si>
  <si>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</si>
  <si>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</si>
  <si>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</si>
  <si>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</si>
  <si>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</si>
  <si>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</si>
  <si>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</si>
  <si>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</si>
  <si>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</si>
  <si>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</si>
  <si>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</si>
  <si>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</si>
  <si>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</si>
  <si>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</si>
  <si>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</si>
  <si>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</si>
  <si>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</si>
  <si>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</si>
  <si>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</si>
  <si>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</si>
  <si>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</si>
  <si>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</si>
  <si>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</si>
  <si>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</si>
  <si>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</si>
  <si>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</si>
  <si>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</si>
  <si>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</si>
  <si>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</si>
  <si>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</si>
  <si>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</si>
  <si>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</si>
  <si>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</si>
  <si>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</si>
  <si>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</si>
  <si>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</si>
  <si>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</si>
  <si>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</si>
  <si>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</si>
  <si>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</si>
  <si>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</si>
  <si>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</si>
  <si>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</si>
  <si>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</si>
  <si>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</si>
  <si>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</si>
  <si>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</si>
  <si>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</si>
  <si>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</si>
  <si>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</si>
  <si>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</si>
  <si>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</si>
  <si>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</si>
  <si>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</si>
  <si>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</si>
  <si>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</si>
  <si>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</si>
  <si>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</si>
  <si>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</si>
  <si>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</si>
  <si>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</si>
  <si>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</si>
  <si>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</si>
  <si>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</si>
  <si>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</si>
  <si>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</si>
  <si>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</si>
  <si>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</si>
  <si>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</si>
  <si>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</si>
  <si>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</si>
  <si>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</si>
  <si>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</si>
  <si>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</si>
  <si>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</si>
  <si>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</si>
  <si>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</si>
  <si>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</si>
  <si>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</si>
  <si>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</si>
  <si>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</si>
  <si>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</si>
  <si>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</si>
  <si>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</si>
  <si>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</si>
  <si>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</si>
  <si>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</si>
  <si>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</si>
  <si>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</si>
  <si>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</si>
  <si>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</si>
  <si>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</si>
  <si>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</si>
  <si>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</si>
  <si>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</si>
  <si>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</si>
  <si>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</si>
  <si>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</si>
  <si>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</si>
  <si>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</si>
  <si>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</si>
  <si>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</si>
  <si>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</si>
  <si>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</si>
  <si>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</si>
  <si>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</si>
  <si>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</si>
  <si>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</si>
  <si>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</si>
  <si>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</si>
  <si>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</si>
  <si>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</si>
  <si>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</si>
  <si>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</si>
  <si>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</si>
  <si>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</si>
  <si>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</si>
  <si>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</si>
  <si>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</si>
  <si>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</si>
  <si>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</si>
  <si>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</si>
  <si>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</si>
  <si>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</si>
  <si>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</si>
  <si>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</si>
  <si>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</si>
  <si>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</si>
  <si>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</si>
  <si>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</si>
  <si>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</si>
  <si>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</si>
  <si>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</si>
  <si>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</si>
  <si>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</si>
  <si>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</si>
  <si>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</si>
  <si>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</si>
  <si>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</si>
  <si>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</si>
  <si>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</si>
  <si>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</si>
  <si>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</si>
  <si>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</si>
  <si>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</si>
  <si>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</si>
  <si>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</si>
  <si>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</si>
  <si>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</si>
  <si>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</si>
  <si>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</si>
  <si>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</si>
  <si>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</si>
  <si>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</si>
  <si>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</si>
  <si>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</si>
  <si>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</si>
  <si>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</si>
  <si>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</si>
  <si>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</si>
  <si>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</si>
  <si>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</si>
  <si>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</si>
  <si>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</si>
  <si>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</si>
  <si>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</si>
  <si>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</si>
  <si>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</si>
  <si>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</si>
  <si>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</si>
  <si>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</si>
  <si>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</si>
  <si>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</si>
  <si>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</si>
  <si>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</si>
  <si>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</si>
  <si>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</si>
  <si>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</si>
  <si>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</si>
  <si>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</si>
  <si>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</si>
  <si>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</si>
  <si>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</si>
  <si>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</si>
  <si>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</si>
  <si>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</si>
  <si>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</si>
  <si>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</si>
  <si>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</si>
  <si>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</si>
  <si>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</si>
  <si>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</si>
  <si>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</si>
  <si>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</si>
  <si>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</si>
  <si>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</si>
  <si>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</si>
  <si>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</si>
  <si>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</si>
  <si>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</si>
  <si>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</si>
  <si>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</si>
  <si>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</si>
  <si>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</si>
  <si>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</si>
  <si>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</si>
  <si>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</si>
  <si>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</si>
  <si>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</si>
  <si>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</si>
  <si>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</si>
  <si>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</si>
  <si>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</si>
  <si>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</si>
  <si>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</si>
  <si>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</si>
  <si>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</si>
  <si>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</si>
  <si>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</si>
  <si>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</si>
  <si>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</si>
  <si>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</si>
  <si>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</si>
  <si>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</si>
  <si>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</si>
  <si>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</si>
  <si>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</si>
  <si>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</si>
  <si>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</si>
  <si>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</si>
  <si>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</si>
  <si>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</si>
  <si>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</si>
  <si>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</si>
  <si>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</si>
  <si>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</si>
  <si>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</si>
  <si>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</si>
  <si>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</si>
  <si>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</si>
  <si>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</si>
  <si>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</si>
  <si>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</si>
  <si>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</si>
  <si>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</si>
  <si>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</si>
  <si>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</si>
  <si>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</si>
  <si>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</si>
  <si>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</si>
  <si>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</si>
  <si>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</si>
  <si>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</si>
  <si>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</si>
  <si>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</si>
  <si>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</si>
  <si>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</si>
  <si>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</si>
  <si>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</si>
  <si>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</si>
  <si>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</si>
  <si>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</si>
  <si>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</si>
  <si>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</si>
  <si>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</si>
  <si>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</si>
  <si>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</si>
  <si>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</si>
  <si>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</si>
  <si>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</si>
  <si>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</si>
  <si>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</si>
  <si>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</si>
  <si>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</si>
  <si>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</si>
  <si>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</si>
  <si>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</si>
  <si>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</si>
  <si>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</si>
  <si>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</si>
  <si>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</si>
  <si>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</si>
  <si>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</si>
  <si>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</si>
  <si>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</si>
  <si>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</si>
  <si>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</si>
  <si>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</si>
  <si>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</si>
  <si>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</si>
  <si>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</si>
  <si>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</si>
  <si>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</si>
  <si>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</si>
  <si>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</si>
  <si>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</si>
  <si>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</si>
  <si>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</si>
  <si>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</si>
  <si>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</si>
  <si>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</si>
  <si>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</si>
  <si>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</si>
  <si>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</si>
  <si>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</si>
  <si>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</si>
  <si>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</si>
  <si>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</si>
  <si>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</si>
  <si>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</si>
  <si>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</si>
  <si>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</si>
  <si>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</si>
  <si>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</si>
  <si>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</si>
  <si>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</si>
  <si>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</si>
  <si>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</si>
  <si>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</si>
  <si>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</si>
  <si>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</si>
  <si>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</si>
  <si>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</si>
  <si>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</si>
  <si>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</si>
  <si>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</si>
  <si>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</si>
  <si>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</si>
  <si>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</si>
  <si>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</si>
  <si>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</si>
  <si>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</si>
  <si>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</si>
  <si>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</si>
  <si>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</si>
  <si>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</si>
  <si>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</si>
  <si>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</si>
  <si>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</si>
  <si>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</si>
  <si>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</si>
  <si>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</si>
  <si>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</si>
  <si>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</si>
  <si>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</si>
  <si>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</si>
  <si>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</si>
  <si>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</si>
  <si>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</si>
  <si>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</si>
  <si>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</si>
  <si>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</si>
  <si>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</si>
  <si>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</si>
  <si>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</si>
  <si>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</si>
  <si>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</si>
  <si>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</si>
  <si>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</si>
  <si>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</si>
  <si>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</si>
  <si>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</si>
  <si>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</si>
  <si>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</si>
  <si>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</si>
  <si>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</si>
  <si>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</si>
  <si>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</si>
  <si>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</si>
  <si>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</si>
  <si>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</si>
  <si>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</si>
  <si>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</si>
  <si>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</si>
  <si>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</si>
  <si>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</si>
  <si>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</si>
  <si>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</si>
  <si>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</si>
  <si>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</si>
  <si>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</si>
  <si>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</si>
  <si>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</si>
  <si>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</si>
  <si>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</si>
  <si>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</si>
  <si>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</si>
  <si>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</si>
  <si>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</si>
  <si>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</si>
  <si>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</si>
  <si>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08/03</t>
  </si>
  <si>
    <t>08/23</t>
  </si>
  <si>
    <t>Winchester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</si>
</sst>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A3" sqref="A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/>
      <c r="C2" s="21"/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506140.99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511701.57</v>
      </c>
      <c r="G12" s="18">
        <v>33755.730000000003</v>
      </c>
      <c r="H12" s="18">
        <v>0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89355.72</v>
      </c>
      <c r="H13" s="18">
        <v>421239.91</v>
      </c>
      <c r="I13" s="18"/>
      <c r="J13" s="67">
        <f>SUM(I442)</f>
        <v>401041.87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51442.92</v>
      </c>
      <c r="G14" s="18">
        <v>686.47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1847.78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35225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1104510.48</v>
      </c>
      <c r="G19" s="41">
        <f>SUM(G9:G18)</f>
        <v>125645.70000000001</v>
      </c>
      <c r="H19" s="41">
        <f>SUM(H9:H18)</f>
        <v>421239.91</v>
      </c>
      <c r="I19" s="41">
        <f>SUM(I9:I18)</f>
        <v>0</v>
      </c>
      <c r="J19" s="41">
        <f>SUM(J9:J18)</f>
        <v>401041.87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/>
      <c r="H22" s="18">
        <v>557020.84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75910.83</v>
      </c>
      <c r="G24" s="18">
        <v>1500</v>
      </c>
      <c r="H24" s="18">
        <v>38430.15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226947.96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-47800.15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1348.67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255058.63999999998</v>
      </c>
      <c r="G32" s="41">
        <f>SUM(G22:G31)</f>
        <v>2848.67</v>
      </c>
      <c r="H32" s="41">
        <f>SUM(H22:H31)</f>
        <v>595450.99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1847.78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35225</v>
      </c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120949.25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401041.87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>
        <v>-174211.08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789226.84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849451.84</v>
      </c>
      <c r="G51" s="41">
        <f>SUM(G35:G50)</f>
        <v>122797.03</v>
      </c>
      <c r="H51" s="41">
        <f>SUM(H35:H50)</f>
        <v>-174211.08</v>
      </c>
      <c r="I51" s="41">
        <f>SUM(I35:I50)</f>
        <v>0</v>
      </c>
      <c r="J51" s="41">
        <f>SUM(J35:J50)</f>
        <v>401041.87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1104510.48</v>
      </c>
      <c r="G52" s="41">
        <f>G51+G32</f>
        <v>125645.7</v>
      </c>
      <c r="H52" s="41">
        <f>H51+H32</f>
        <v>421239.91000000003</v>
      </c>
      <c r="I52" s="41">
        <f>I51+I32</f>
        <v>0</v>
      </c>
      <c r="J52" s="41">
        <f>J51+J32</f>
        <v>401041.87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4955956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4955956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1726.51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7110.13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7590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>
        <v>1500</v>
      </c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46111.87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100522.12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15784.52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170008.50999999998</v>
      </c>
      <c r="G111" s="41">
        <f>SUM(G96:G110)</f>
        <v>8610.130000000001</v>
      </c>
      <c r="H111" s="41">
        <f>SUM(H96:H110)</f>
        <v>0</v>
      </c>
      <c r="I111" s="41">
        <f>SUM(I96:I110)</f>
        <v>0</v>
      </c>
      <c r="J111" s="41">
        <f>SUM(J96:J110)</f>
        <v>1726.51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5125964.51</v>
      </c>
      <c r="G112" s="41">
        <f>G60+G111</f>
        <v>8610.130000000001</v>
      </c>
      <c r="H112" s="41">
        <f>H60+H79+H94+H111</f>
        <v>0</v>
      </c>
      <c r="I112" s="41">
        <f>I60+I111</f>
        <v>0</v>
      </c>
      <c r="J112" s="41">
        <f>J60+J111</f>
        <v>1726.51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4152409.72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589964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4742373.7200000007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61928.18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12290.05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3122.32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74218.23</v>
      </c>
      <c r="G136" s="41">
        <f>SUM(G123:G135)</f>
        <v>3122.32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4816591.9500000011</v>
      </c>
      <c r="G140" s="41">
        <f>G121+SUM(G136:G137)</f>
        <v>3122.32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287672.38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75294.16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210107.76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147929.79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178728.64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178728.64</v>
      </c>
      <c r="G162" s="41">
        <f>SUM(G150:G161)</f>
        <v>210107.76</v>
      </c>
      <c r="H162" s="41">
        <f>SUM(H150:H161)</f>
        <v>510896.33000000007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178728.64</v>
      </c>
      <c r="G169" s="41">
        <f>G147+G162+SUM(G163:G168)</f>
        <v>210107.76</v>
      </c>
      <c r="H169" s="41">
        <f>H147+H162+SUM(H163:H168)</f>
        <v>510896.33000000007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10121285.100000001</v>
      </c>
      <c r="G193" s="47">
        <f>G112+G140+G169+G192</f>
        <v>221840.21000000002</v>
      </c>
      <c r="H193" s="47">
        <f>H112+H140+H169+H192</f>
        <v>510896.33000000007</v>
      </c>
      <c r="I193" s="47">
        <f>I112+I140+I169+I192</f>
        <v>0</v>
      </c>
      <c r="J193" s="47">
        <f>J112+J140+J192</f>
        <v>66726.509999999995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1434170.47</v>
      </c>
      <c r="G197" s="18">
        <v>716048.14</v>
      </c>
      <c r="H197" s="18">
        <v>5400.17</v>
      </c>
      <c r="I197" s="18">
        <v>40747.370000000003</v>
      </c>
      <c r="J197" s="18">
        <v>129.94999999999999</v>
      </c>
      <c r="K197" s="18">
        <v>0</v>
      </c>
      <c r="L197" s="19">
        <f>SUM(F197:K197)</f>
        <v>2196496.1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959593.53</v>
      </c>
      <c r="G198" s="18">
        <v>217842.52</v>
      </c>
      <c r="H198" s="18">
        <f>431161.77-104698.17</f>
        <v>326463.60000000003</v>
      </c>
      <c r="I198" s="18">
        <v>6259.76</v>
      </c>
      <c r="J198" s="18"/>
      <c r="K198" s="18"/>
      <c r="L198" s="19">
        <f>SUM(F198:K198)</f>
        <v>1510159.4100000001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16950.849999999999</v>
      </c>
      <c r="G200" s="18">
        <v>1930.66</v>
      </c>
      <c r="H200" s="18">
        <v>3370</v>
      </c>
      <c r="I200" s="18">
        <v>4359.82</v>
      </c>
      <c r="J200" s="18"/>
      <c r="K200" s="18"/>
      <c r="L200" s="19">
        <f>SUM(F200:K200)</f>
        <v>26611.329999999998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351033.34</v>
      </c>
      <c r="G202" s="18">
        <v>167779.46</v>
      </c>
      <c r="H202" s="18">
        <v>0</v>
      </c>
      <c r="I202" s="18">
        <v>3093.54</v>
      </c>
      <c r="J202" s="18"/>
      <c r="K202" s="18"/>
      <c r="L202" s="19">
        <f t="shared" ref="L202:L208" si="0">SUM(F202:K202)</f>
        <v>521906.34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50422.85</v>
      </c>
      <c r="G203" s="18">
        <v>35635.839999999997</v>
      </c>
      <c r="H203" s="18">
        <v>16900.07</v>
      </c>
      <c r="I203" s="18">
        <v>6317.1</v>
      </c>
      <c r="J203" s="18"/>
      <c r="K203" s="18"/>
      <c r="L203" s="19">
        <f t="shared" si="0"/>
        <v>109275.86000000002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104406.96</v>
      </c>
      <c r="G204" s="18">
        <v>94230.28</v>
      </c>
      <c r="H204" s="18">
        <v>130035.98</v>
      </c>
      <c r="I204" s="18">
        <v>13765.58</v>
      </c>
      <c r="J204" s="18">
        <v>616.75</v>
      </c>
      <c r="K204" s="18">
        <v>9185.11</v>
      </c>
      <c r="L204" s="19">
        <f t="shared" si="0"/>
        <v>352240.66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120457.23</v>
      </c>
      <c r="G205" s="18">
        <v>68005.64</v>
      </c>
      <c r="H205" s="18">
        <v>2250.81</v>
      </c>
      <c r="I205" s="18">
        <v>0</v>
      </c>
      <c r="J205" s="18"/>
      <c r="K205" s="18">
        <v>1423.46</v>
      </c>
      <c r="L205" s="19">
        <f t="shared" si="0"/>
        <v>192137.13999999998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74757.61</v>
      </c>
      <c r="G206" s="18">
        <v>18412.16</v>
      </c>
      <c r="H206" s="18"/>
      <c r="I206" s="18"/>
      <c r="J206" s="18"/>
      <c r="K206" s="18"/>
      <c r="L206" s="19">
        <f t="shared" si="0"/>
        <v>93169.77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164055.32999999999</v>
      </c>
      <c r="G207" s="18">
        <v>67802.27</v>
      </c>
      <c r="H207" s="18">
        <v>98587.53</v>
      </c>
      <c r="I207" s="18">
        <v>162460.9</v>
      </c>
      <c r="J207" s="18">
        <v>24399.77</v>
      </c>
      <c r="K207" s="18"/>
      <c r="L207" s="19">
        <f t="shared" si="0"/>
        <v>517305.80000000005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3390.03</v>
      </c>
      <c r="G208" s="18">
        <v>259.35000000000002</v>
      </c>
      <c r="H208" s="18">
        <v>380991.14</v>
      </c>
      <c r="I208" s="18"/>
      <c r="J208" s="18"/>
      <c r="K208" s="18"/>
      <c r="L208" s="19">
        <f t="shared" si="0"/>
        <v>384640.52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37360</v>
      </c>
      <c r="G209" s="18">
        <v>7031.1</v>
      </c>
      <c r="H209" s="18">
        <v>97735</v>
      </c>
      <c r="I209" s="18">
        <v>3076.54</v>
      </c>
      <c r="J209" s="18">
        <v>50072</v>
      </c>
      <c r="K209" s="18"/>
      <c r="L209" s="19">
        <f>SUM(F209:K209)</f>
        <v>195274.64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3316598.1999999997</v>
      </c>
      <c r="G211" s="41">
        <f t="shared" si="1"/>
        <v>1394977.4200000002</v>
      </c>
      <c r="H211" s="41">
        <f t="shared" si="1"/>
        <v>1061734.3</v>
      </c>
      <c r="I211" s="41">
        <f t="shared" si="1"/>
        <v>240080.61000000002</v>
      </c>
      <c r="J211" s="41">
        <f t="shared" si="1"/>
        <v>75218.47</v>
      </c>
      <c r="K211" s="41">
        <f t="shared" si="1"/>
        <v>10608.57</v>
      </c>
      <c r="L211" s="41">
        <f t="shared" si="1"/>
        <v>6099217.5699999994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1643053.22</v>
      </c>
      <c r="I233" s="18"/>
      <c r="J233" s="18"/>
      <c r="K233" s="18"/>
      <c r="L233" s="19">
        <f>SUM(F233:K233)</f>
        <v>1643053.22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1302407.04+104698.17</f>
        <v>1407105.21</v>
      </c>
      <c r="I234" s="18"/>
      <c r="J234" s="18"/>
      <c r="K234" s="18"/>
      <c r="L234" s="19">
        <f>SUM(F234:K234)</f>
        <v>1407105.21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205149.07</v>
      </c>
      <c r="I244" s="18"/>
      <c r="J244" s="18"/>
      <c r="K244" s="18"/>
      <c r="L244" s="19">
        <f t="shared" si="4"/>
        <v>205149.07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3255307.4999999995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3255307.4999999995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3316598.1999999997</v>
      </c>
      <c r="G257" s="41">
        <f t="shared" si="8"/>
        <v>1394977.4200000002</v>
      </c>
      <c r="H257" s="41">
        <f t="shared" si="8"/>
        <v>4317041.8</v>
      </c>
      <c r="I257" s="41">
        <f t="shared" si="8"/>
        <v>240080.61000000002</v>
      </c>
      <c r="J257" s="41">
        <f t="shared" si="8"/>
        <v>75218.47</v>
      </c>
      <c r="K257" s="41">
        <f t="shared" si="8"/>
        <v>10608.57</v>
      </c>
      <c r="L257" s="41">
        <f t="shared" si="8"/>
        <v>9354525.0699999984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175000</v>
      </c>
      <c r="L260" s="19">
        <f>SUM(F260:K260)</f>
        <v>175000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59682</v>
      </c>
      <c r="L261" s="19">
        <f>SUM(F261:K261)</f>
        <v>59682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65000</v>
      </c>
      <c r="L266" s="19">
        <f t="shared" si="9"/>
        <v>65000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299682</v>
      </c>
      <c r="L270" s="41">
        <f t="shared" si="9"/>
        <v>299682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3316598.1999999997</v>
      </c>
      <c r="G271" s="42">
        <f t="shared" si="11"/>
        <v>1394977.4200000002</v>
      </c>
      <c r="H271" s="42">
        <f t="shared" si="11"/>
        <v>4317041.8</v>
      </c>
      <c r="I271" s="42">
        <f t="shared" si="11"/>
        <v>240080.61000000002</v>
      </c>
      <c r="J271" s="42">
        <f t="shared" si="11"/>
        <v>75218.47</v>
      </c>
      <c r="K271" s="42">
        <f t="shared" si="11"/>
        <v>310290.57</v>
      </c>
      <c r="L271" s="42">
        <f t="shared" si="11"/>
        <v>9654207.0699999984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258058.66</v>
      </c>
      <c r="G276" s="18">
        <v>43063.4</v>
      </c>
      <c r="H276" s="18">
        <v>1000</v>
      </c>
      <c r="I276" s="18"/>
      <c r="J276" s="18"/>
      <c r="K276" s="18"/>
      <c r="L276" s="19">
        <f>SUM(F276:K276)</f>
        <v>302122.06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15099.92</v>
      </c>
      <c r="G277" s="18">
        <v>3708.18</v>
      </c>
      <c r="H277" s="18">
        <v>19055.099999999999</v>
      </c>
      <c r="I277" s="18">
        <v>5985.36</v>
      </c>
      <c r="J277" s="18"/>
      <c r="K277" s="18"/>
      <c r="L277" s="19">
        <f>SUM(F277:K277)</f>
        <v>43848.56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>
        <v>5069.2299999999996</v>
      </c>
      <c r="I279" s="18">
        <v>4271.16</v>
      </c>
      <c r="J279" s="18"/>
      <c r="K279" s="18"/>
      <c r="L279" s="19">
        <f>SUM(F279:K279)</f>
        <v>9340.39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34806.39</v>
      </c>
      <c r="G281" s="18">
        <v>16075.44</v>
      </c>
      <c r="H281" s="18"/>
      <c r="I281" s="18"/>
      <c r="J281" s="18"/>
      <c r="K281" s="18"/>
      <c r="L281" s="19">
        <f t="shared" ref="L281:L287" si="12">SUM(F281:K281)</f>
        <v>50881.83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58123.85</v>
      </c>
      <c r="G282" s="18">
        <v>28461.73</v>
      </c>
      <c r="H282" s="18">
        <v>16050.15</v>
      </c>
      <c r="I282" s="18">
        <v>928.36</v>
      </c>
      <c r="J282" s="18"/>
      <c r="K282" s="18"/>
      <c r="L282" s="19">
        <f t="shared" si="12"/>
        <v>103564.09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>
        <v>396.57</v>
      </c>
      <c r="I284" s="18"/>
      <c r="J284" s="18"/>
      <c r="K284" s="18"/>
      <c r="L284" s="19">
        <f t="shared" si="12"/>
        <v>396.57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366088.82</v>
      </c>
      <c r="G290" s="42">
        <f t="shared" si="13"/>
        <v>91308.75</v>
      </c>
      <c r="H290" s="42">
        <f t="shared" si="13"/>
        <v>41571.049999999996</v>
      </c>
      <c r="I290" s="42">
        <f t="shared" si="13"/>
        <v>11184.880000000001</v>
      </c>
      <c r="J290" s="42">
        <f t="shared" si="13"/>
        <v>0</v>
      </c>
      <c r="K290" s="42">
        <f t="shared" si="13"/>
        <v>0</v>
      </c>
      <c r="L290" s="41">
        <f t="shared" si="13"/>
        <v>510153.50000000006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366088.82</v>
      </c>
      <c r="G338" s="41">
        <f t="shared" si="20"/>
        <v>91308.75</v>
      </c>
      <c r="H338" s="41">
        <f t="shared" si="20"/>
        <v>41571.049999999996</v>
      </c>
      <c r="I338" s="41">
        <f t="shared" si="20"/>
        <v>11184.880000000001</v>
      </c>
      <c r="J338" s="41">
        <f t="shared" si="20"/>
        <v>0</v>
      </c>
      <c r="K338" s="41">
        <f t="shared" si="20"/>
        <v>0</v>
      </c>
      <c r="L338" s="41">
        <f t="shared" si="20"/>
        <v>510153.50000000006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366088.82</v>
      </c>
      <c r="G352" s="41">
        <f>G338</f>
        <v>91308.75</v>
      </c>
      <c r="H352" s="41">
        <f>H338</f>
        <v>41571.049999999996</v>
      </c>
      <c r="I352" s="41">
        <f>I338</f>
        <v>11184.880000000001</v>
      </c>
      <c r="J352" s="41">
        <f>J338</f>
        <v>0</v>
      </c>
      <c r="K352" s="47">
        <f>K338+K351</f>
        <v>0</v>
      </c>
      <c r="L352" s="41">
        <f>L338+L351</f>
        <v>510153.50000000006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71311.28</v>
      </c>
      <c r="G358" s="18">
        <v>5531.53</v>
      </c>
      <c r="H358" s="18">
        <v>7382.86</v>
      </c>
      <c r="I358" s="18">
        <v>131221.28</v>
      </c>
      <c r="J358" s="18">
        <v>16265.61</v>
      </c>
      <c r="K358" s="18"/>
      <c r="L358" s="13">
        <f>SUM(F358:K358)</f>
        <v>231712.56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71311.28</v>
      </c>
      <c r="G362" s="47">
        <f t="shared" si="22"/>
        <v>5531.53</v>
      </c>
      <c r="H362" s="47">
        <f t="shared" si="22"/>
        <v>7382.86</v>
      </c>
      <c r="I362" s="47">
        <f t="shared" si="22"/>
        <v>131221.28</v>
      </c>
      <c r="J362" s="47">
        <f t="shared" si="22"/>
        <v>16265.61</v>
      </c>
      <c r="K362" s="47">
        <f t="shared" si="22"/>
        <v>0</v>
      </c>
      <c r="L362" s="47">
        <f t="shared" si="22"/>
        <v>231712.56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122518.64</v>
      </c>
      <c r="G367" s="18"/>
      <c r="H367" s="18"/>
      <c r="I367" s="56">
        <f>SUM(F367:H367)</f>
        <v>122518.64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8702.64</v>
      </c>
      <c r="G368" s="63"/>
      <c r="H368" s="63"/>
      <c r="I368" s="56">
        <f>SUM(F368:H368)</f>
        <v>8702.64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131221.28</v>
      </c>
      <c r="G369" s="47">
        <f>SUM(G367:G368)</f>
        <v>0</v>
      </c>
      <c r="H369" s="47">
        <f>SUM(H367:H368)</f>
        <v>0</v>
      </c>
      <c r="I369" s="47">
        <f>SUM(I367:I368)</f>
        <v>131221.28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>
        <v>15000</v>
      </c>
      <c r="H388" s="18">
        <v>989.23</v>
      </c>
      <c r="I388" s="18"/>
      <c r="J388" s="24" t="s">
        <v>289</v>
      </c>
      <c r="K388" s="24" t="s">
        <v>289</v>
      </c>
      <c r="L388" s="56">
        <f t="shared" si="25"/>
        <v>15989.23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15000</v>
      </c>
      <c r="H393" s="139">
        <f>SUM(H387:H392)</f>
        <v>989.23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15989.23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>
        <v>737.28</v>
      </c>
      <c r="I397" s="18"/>
      <c r="J397" s="24" t="s">
        <v>289</v>
      </c>
      <c r="K397" s="24" t="s">
        <v>289</v>
      </c>
      <c r="L397" s="56">
        <f t="shared" si="26"/>
        <v>50737.279999999999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737.28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50737.279999999999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65000</v>
      </c>
      <c r="H408" s="47">
        <f>H393+H401+H407</f>
        <v>1726.51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66726.509999999995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>
        <v>31835</v>
      </c>
      <c r="I414" s="18">
        <v>3000.22</v>
      </c>
      <c r="J414" s="18">
        <v>12074.78</v>
      </c>
      <c r="K414" s="18"/>
      <c r="L414" s="56">
        <f t="shared" si="27"/>
        <v>46910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31835</v>
      </c>
      <c r="I419" s="139">
        <f t="shared" si="28"/>
        <v>3000.22</v>
      </c>
      <c r="J419" s="139">
        <f t="shared" si="28"/>
        <v>12074.78</v>
      </c>
      <c r="K419" s="139">
        <f t="shared" si="28"/>
        <v>0</v>
      </c>
      <c r="L419" s="47">
        <f t="shared" si="28"/>
        <v>46910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31835</v>
      </c>
      <c r="I434" s="47">
        <f t="shared" si="32"/>
        <v>3000.22</v>
      </c>
      <c r="J434" s="47">
        <f t="shared" si="32"/>
        <v>12074.78</v>
      </c>
      <c r="K434" s="47">
        <f t="shared" si="32"/>
        <v>0</v>
      </c>
      <c r="L434" s="47">
        <f t="shared" si="32"/>
        <v>46910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196478.22</v>
      </c>
      <c r="G442" s="18">
        <v>204563.65</v>
      </c>
      <c r="H442" s="18"/>
      <c r="I442" s="56">
        <f t="shared" si="33"/>
        <v>401041.87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196478.22</v>
      </c>
      <c r="G446" s="13">
        <f>SUM(G439:G445)</f>
        <v>204563.65</v>
      </c>
      <c r="H446" s="13">
        <f>SUM(H439:H445)</f>
        <v>0</v>
      </c>
      <c r="I446" s="13">
        <f>SUM(I439:I445)</f>
        <v>401041.87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196478.22</v>
      </c>
      <c r="G459" s="18">
        <v>204563.65</v>
      </c>
      <c r="H459" s="18"/>
      <c r="I459" s="56">
        <f t="shared" si="34"/>
        <v>401041.87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196478.22</v>
      </c>
      <c r="G460" s="83">
        <f>SUM(G454:G459)</f>
        <v>204563.65</v>
      </c>
      <c r="H460" s="83">
        <f>SUM(H454:H459)</f>
        <v>0</v>
      </c>
      <c r="I460" s="83">
        <f>SUM(I454:I459)</f>
        <v>401041.87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196478.22</v>
      </c>
      <c r="G461" s="42">
        <f>G452+G460</f>
        <v>204563.65</v>
      </c>
      <c r="H461" s="42">
        <f>H452+H460</f>
        <v>0</v>
      </c>
      <c r="I461" s="42">
        <f>I452+I460</f>
        <v>401041.87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382373.81</v>
      </c>
      <c r="G465" s="18">
        <v>132669.38</v>
      </c>
      <c r="H465" s="18">
        <v>-174953.91</v>
      </c>
      <c r="I465" s="18"/>
      <c r="J465" s="18">
        <v>381225.36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10121285.1</v>
      </c>
      <c r="G468" s="18">
        <v>221840.21</v>
      </c>
      <c r="H468" s="18">
        <v>510896.33</v>
      </c>
      <c r="I468" s="18"/>
      <c r="J468" s="18">
        <v>66726.509999999995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10121285.1</v>
      </c>
      <c r="G470" s="53">
        <f>SUM(G468:G469)</f>
        <v>221840.21</v>
      </c>
      <c r="H470" s="53">
        <f>SUM(H468:H469)</f>
        <v>510896.33</v>
      </c>
      <c r="I470" s="53">
        <f>SUM(I468:I469)</f>
        <v>0</v>
      </c>
      <c r="J470" s="53">
        <f>SUM(J468:J469)</f>
        <v>66726.509999999995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9654207.0700000003</v>
      </c>
      <c r="G472" s="18">
        <v>231712.56</v>
      </c>
      <c r="H472" s="18">
        <v>510153.5</v>
      </c>
      <c r="I472" s="18"/>
      <c r="J472" s="18">
        <v>46910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9654207.0700000003</v>
      </c>
      <c r="G474" s="53">
        <f>SUM(G472:G473)</f>
        <v>231712.56</v>
      </c>
      <c r="H474" s="53">
        <f>SUM(H472:H473)</f>
        <v>510153.5</v>
      </c>
      <c r="I474" s="53">
        <f>SUM(I472:I473)</f>
        <v>0</v>
      </c>
      <c r="J474" s="53">
        <f>SUM(J472:J473)</f>
        <v>46910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849451.83999999985</v>
      </c>
      <c r="G476" s="53">
        <f>(G465+G470)- G474</f>
        <v>122797.02999999997</v>
      </c>
      <c r="H476" s="53">
        <f>(H465+H470)- H474</f>
        <v>-174211.07999999996</v>
      </c>
      <c r="I476" s="53">
        <f>(I465+I470)- I474</f>
        <v>0</v>
      </c>
      <c r="J476" s="53">
        <f>(J465+J470)- J474</f>
        <v>401041.87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3504725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1575000</v>
      </c>
      <c r="G495" s="18"/>
      <c r="H495" s="18"/>
      <c r="I495" s="18"/>
      <c r="J495" s="18"/>
      <c r="K495" s="53">
        <f>SUM(F495:J495)</f>
        <v>1575000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175000</v>
      </c>
      <c r="G497" s="18"/>
      <c r="H497" s="18"/>
      <c r="I497" s="18"/>
      <c r="J497" s="18"/>
      <c r="K497" s="53">
        <f t="shared" si="35"/>
        <v>175000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1400000</v>
      </c>
      <c r="G498" s="204"/>
      <c r="H498" s="204"/>
      <c r="I498" s="204"/>
      <c r="J498" s="204"/>
      <c r="K498" s="205">
        <f t="shared" si="35"/>
        <v>1400000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205387</v>
      </c>
      <c r="G499" s="18"/>
      <c r="H499" s="18"/>
      <c r="I499" s="18"/>
      <c r="J499" s="18"/>
      <c r="K499" s="53">
        <f t="shared" si="35"/>
        <v>205387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1605387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1605387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175000</v>
      </c>
      <c r="G501" s="204"/>
      <c r="H501" s="204"/>
      <c r="I501" s="204"/>
      <c r="J501" s="204"/>
      <c r="K501" s="205">
        <f t="shared" si="35"/>
        <v>175000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50932</v>
      </c>
      <c r="G502" s="18"/>
      <c r="H502" s="18"/>
      <c r="I502" s="18"/>
      <c r="J502" s="18"/>
      <c r="K502" s="53">
        <f t="shared" si="35"/>
        <v>50932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225932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225932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959593.55</v>
      </c>
      <c r="G521" s="18">
        <v>217842.52</v>
      </c>
      <c r="H521" s="18">
        <v>431161.77</v>
      </c>
      <c r="I521" s="18">
        <v>6259.76</v>
      </c>
      <c r="J521" s="18"/>
      <c r="K521" s="18"/>
      <c r="L521" s="88">
        <f>SUM(F521:K521)</f>
        <v>1614857.6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H234</f>
        <v>1407105.21</v>
      </c>
      <c r="I523" s="18"/>
      <c r="J523" s="18"/>
      <c r="K523" s="18"/>
      <c r="L523" s="88">
        <f>SUM(F523:K523)</f>
        <v>1407105.21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959593.55</v>
      </c>
      <c r="G524" s="108">
        <f t="shared" ref="G524:L524" si="36">SUM(G521:G523)</f>
        <v>217842.52</v>
      </c>
      <c r="H524" s="108">
        <f t="shared" si="36"/>
        <v>1838266.98</v>
      </c>
      <c r="I524" s="108">
        <f t="shared" si="36"/>
        <v>6259.76</v>
      </c>
      <c r="J524" s="108">
        <f t="shared" si="36"/>
        <v>0</v>
      </c>
      <c r="K524" s="108">
        <f t="shared" si="36"/>
        <v>0</v>
      </c>
      <c r="L524" s="89">
        <f t="shared" si="36"/>
        <v>3021962.81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146632.23000000001</v>
      </c>
      <c r="I526" s="18"/>
      <c r="J526" s="18"/>
      <c r="K526" s="18"/>
      <c r="L526" s="88">
        <f>SUM(F526:K526)</f>
        <v>146632.23000000001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146632.23000000001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146632.23000000001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228023.34</v>
      </c>
      <c r="I541" s="18"/>
      <c r="J541" s="18"/>
      <c r="K541" s="18"/>
      <c r="L541" s="88">
        <f>SUM(F541:K541)</f>
        <v>228023.34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63016.07</v>
      </c>
      <c r="I543" s="18"/>
      <c r="J543" s="18"/>
      <c r="K543" s="18"/>
      <c r="L543" s="88">
        <f>SUM(F543:K543)</f>
        <v>63016.07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291039.40999999997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291039.40999999997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959593.55</v>
      </c>
      <c r="G545" s="89">
        <f t="shared" ref="G545:L545" si="41">G524+G529+G534+G539+G544</f>
        <v>217842.52</v>
      </c>
      <c r="H545" s="89">
        <f t="shared" si="41"/>
        <v>2275938.62</v>
      </c>
      <c r="I545" s="89">
        <f t="shared" si="41"/>
        <v>6259.76</v>
      </c>
      <c r="J545" s="89">
        <f t="shared" si="41"/>
        <v>0</v>
      </c>
      <c r="K545" s="89">
        <f t="shared" si="41"/>
        <v>0</v>
      </c>
      <c r="L545" s="89">
        <f t="shared" si="41"/>
        <v>3459634.45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1614857.6</v>
      </c>
      <c r="G549" s="87">
        <f>L526</f>
        <v>146632.23000000001</v>
      </c>
      <c r="H549" s="87">
        <f>L531</f>
        <v>0</v>
      </c>
      <c r="I549" s="87">
        <f>L536</f>
        <v>0</v>
      </c>
      <c r="J549" s="87">
        <f>L541</f>
        <v>228023.34</v>
      </c>
      <c r="K549" s="87">
        <f>SUM(F549:J549)</f>
        <v>1989513.1700000002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1407105.21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63016.07</v>
      </c>
      <c r="K551" s="87">
        <f>SUM(F551:J551)</f>
        <v>1470121.28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3021962.81</v>
      </c>
      <c r="G552" s="89">
        <f t="shared" si="42"/>
        <v>146632.23000000001</v>
      </c>
      <c r="H552" s="89">
        <f t="shared" si="42"/>
        <v>0</v>
      </c>
      <c r="I552" s="89">
        <f t="shared" si="42"/>
        <v>0</v>
      </c>
      <c r="J552" s="89">
        <f t="shared" si="42"/>
        <v>291039.40999999997</v>
      </c>
      <c r="K552" s="89">
        <f t="shared" si="42"/>
        <v>3459634.45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10277.76</v>
      </c>
      <c r="G562" s="18">
        <v>786.28</v>
      </c>
      <c r="H562" s="18"/>
      <c r="I562" s="18"/>
      <c r="J562" s="18"/>
      <c r="K562" s="18"/>
      <c r="L562" s="88">
        <f>SUM(F562:K562)</f>
        <v>11064.04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10277.76</v>
      </c>
      <c r="G565" s="89">
        <f t="shared" si="44"/>
        <v>786.28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11064.04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10277.76</v>
      </c>
      <c r="G571" s="89">
        <f t="shared" ref="G571:L571" si="46">G560+G565+G570</f>
        <v>786.28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11064.04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1641103.24</v>
      </c>
      <c r="I575" s="87">
        <f>SUM(F575:H575)</f>
        <v>1641103.24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1259614.44</v>
      </c>
      <c r="I579" s="87">
        <f t="shared" si="47"/>
        <v>1259614.44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62160</v>
      </c>
      <c r="G582" s="18"/>
      <c r="H582" s="18">
        <v>149440.75</v>
      </c>
      <c r="I582" s="87">
        <f t="shared" si="47"/>
        <v>211600.75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36572.65</v>
      </c>
      <c r="G583" s="18"/>
      <c r="H583" s="18"/>
      <c r="I583" s="87">
        <f t="shared" si="47"/>
        <v>36572.65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141027.85</v>
      </c>
      <c r="I591" s="18"/>
      <c r="J591" s="18">
        <v>142133</v>
      </c>
      <c r="K591" s="104">
        <f t="shared" ref="K591:K597" si="48">SUM(H591:J591)</f>
        <v>283160.84999999998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228023.34</v>
      </c>
      <c r="I592" s="18"/>
      <c r="J592" s="18">
        <v>63016.07</v>
      </c>
      <c r="K592" s="104">
        <f t="shared" si="48"/>
        <v>291039.40999999997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4799.55</v>
      </c>
      <c r="I594" s="18"/>
      <c r="J594" s="18"/>
      <c r="K594" s="104">
        <f t="shared" si="48"/>
        <v>4799.55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7140.4</v>
      </c>
      <c r="I595" s="18"/>
      <c r="J595" s="18"/>
      <c r="K595" s="104">
        <f t="shared" si="48"/>
        <v>7140.4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3649.38</v>
      </c>
      <c r="I597" s="18"/>
      <c r="J597" s="18"/>
      <c r="K597" s="104">
        <f t="shared" si="48"/>
        <v>3649.38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384640.52</v>
      </c>
      <c r="I598" s="108">
        <f>SUM(I591:I597)</f>
        <v>0</v>
      </c>
      <c r="J598" s="108">
        <f>SUM(J591:J597)</f>
        <v>205149.07</v>
      </c>
      <c r="K598" s="108">
        <f>SUM(K591:K597)</f>
        <v>589789.59000000008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75218.47</v>
      </c>
      <c r="I604" s="18"/>
      <c r="J604" s="18"/>
      <c r="K604" s="104">
        <f>SUM(H604:J604)</f>
        <v>75218.47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75218.47</v>
      </c>
      <c r="I605" s="108">
        <f>SUM(I602:I604)</f>
        <v>0</v>
      </c>
      <c r="J605" s="108">
        <f>SUM(J602:J604)</f>
        <v>0</v>
      </c>
      <c r="K605" s="108">
        <f>SUM(K602:K604)</f>
        <v>75218.47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1104510.48</v>
      </c>
      <c r="H617" s="109">
        <f>SUM(F52)</f>
        <v>1104510.48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125645.70000000001</v>
      </c>
      <c r="H618" s="109">
        <f>SUM(G52)</f>
        <v>125645.7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421239.91</v>
      </c>
      <c r="H619" s="109">
        <f>SUM(H52)</f>
        <v>421239.91000000003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401041.87</v>
      </c>
      <c r="H621" s="109">
        <f>SUM(J52)</f>
        <v>401041.87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849451.84</v>
      </c>
      <c r="H622" s="109">
        <f>F476</f>
        <v>849451.83999999985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122797.03</v>
      </c>
      <c r="H623" s="109">
        <f>G476</f>
        <v>122797.02999999997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-174211.08</v>
      </c>
      <c r="H624" s="109">
        <f>H476</f>
        <v>-174211.07999999996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401041.87</v>
      </c>
      <c r="H626" s="109">
        <f>J476</f>
        <v>401041.87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10121285.100000001</v>
      </c>
      <c r="H627" s="104">
        <f>SUM(F468)</f>
        <v>10121285.1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221840.21000000002</v>
      </c>
      <c r="H628" s="104">
        <f>SUM(G468)</f>
        <v>221840.21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510896.33000000007</v>
      </c>
      <c r="H629" s="104">
        <f>SUM(H468)</f>
        <v>510896.33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66726.509999999995</v>
      </c>
      <c r="H631" s="104">
        <f>SUM(J468)</f>
        <v>66726.509999999995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9654207.0699999984</v>
      </c>
      <c r="H632" s="104">
        <f>SUM(F472)</f>
        <v>9654207.0700000003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510153.50000000006</v>
      </c>
      <c r="H633" s="104">
        <f>SUM(H472)</f>
        <v>510153.5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131221.28</v>
      </c>
      <c r="H634" s="104">
        <f>I369</f>
        <v>131221.28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231712.56</v>
      </c>
      <c r="H635" s="104">
        <f>SUM(G472)</f>
        <v>231712.56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66726.509999999995</v>
      </c>
      <c r="H637" s="164">
        <f>SUM(J468)</f>
        <v>66726.509999999995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46910</v>
      </c>
      <c r="H638" s="164">
        <f>SUM(J472)</f>
        <v>46910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196478.22</v>
      </c>
      <c r="H639" s="104">
        <f>SUM(F461)</f>
        <v>196478.22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204563.65</v>
      </c>
      <c r="H640" s="104">
        <f>SUM(G461)</f>
        <v>204563.65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401041.87</v>
      </c>
      <c r="H642" s="104">
        <f>SUM(I461)</f>
        <v>401041.87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1726.51</v>
      </c>
      <c r="H644" s="104">
        <f>H408</f>
        <v>1726.51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65000</v>
      </c>
      <c r="H645" s="104">
        <f>G408</f>
        <v>65000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66726.509999999995</v>
      </c>
      <c r="H646" s="104">
        <f>L408</f>
        <v>66726.509999999995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589789.59000000008</v>
      </c>
      <c r="H647" s="104">
        <f>L208+L226+L244</f>
        <v>589789.59000000008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75218.47</v>
      </c>
      <c r="H648" s="104">
        <f>(J257+J338)-(J255+J336)</f>
        <v>75218.47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384640.52</v>
      </c>
      <c r="H649" s="104">
        <f>H598</f>
        <v>384640.52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205149.07</v>
      </c>
      <c r="H651" s="104">
        <f>J598</f>
        <v>205149.07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65000</v>
      </c>
      <c r="H655" s="104">
        <f>K266+K347</f>
        <v>65000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6841083.629999999</v>
      </c>
      <c r="G660" s="19">
        <f>(L229+L309+L359)</f>
        <v>0</v>
      </c>
      <c r="H660" s="19">
        <f>(L247+L328+L360)</f>
        <v>3255307.4999999995</v>
      </c>
      <c r="I660" s="19">
        <f>SUM(F660:H660)</f>
        <v>10096391.129999999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8610.130000000001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8610.130000000001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384640.52</v>
      </c>
      <c r="G662" s="19">
        <f>(L226+L306)-(J226+J306)</f>
        <v>0</v>
      </c>
      <c r="H662" s="19">
        <f>(L244+L325)-(J244+J325)</f>
        <v>205149.07</v>
      </c>
      <c r="I662" s="19">
        <f>SUM(F662:H662)</f>
        <v>589789.59000000008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173951.12</v>
      </c>
      <c r="G663" s="199">
        <f>SUM(G575:G587)+SUM(I602:I604)+L612</f>
        <v>0</v>
      </c>
      <c r="H663" s="199">
        <f>SUM(H575:H587)+SUM(J602:J604)+L613</f>
        <v>3050158.4299999997</v>
      </c>
      <c r="I663" s="19">
        <f>SUM(F663:H663)</f>
        <v>3224109.55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6273881.8599999994</v>
      </c>
      <c r="G664" s="19">
        <f>G660-SUM(G661:G663)</f>
        <v>0</v>
      </c>
      <c r="H664" s="19">
        <f>H660-SUM(H661:H663)</f>
        <v>0</v>
      </c>
      <c r="I664" s="19">
        <f>I660-SUM(I661:I663)</f>
        <v>6273881.8599999994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416.47</v>
      </c>
      <c r="G665" s="248"/>
      <c r="H665" s="248"/>
      <c r="I665" s="19">
        <f>SUM(F665:H665)</f>
        <v>416.47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15064.43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15064.43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15064.43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15064.43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G11" sqref="G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Winchester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1692229.13</v>
      </c>
      <c r="C9" s="229">
        <f>'DOE25'!G197+'DOE25'!G215+'DOE25'!G233+'DOE25'!G276+'DOE25'!G295+'DOE25'!G314</f>
        <v>759111.54</v>
      </c>
    </row>
    <row r="10" spans="1:3" x14ac:dyDescent="0.2">
      <c r="A10" t="s">
        <v>779</v>
      </c>
      <c r="B10" s="240">
        <v>1655062.48</v>
      </c>
      <c r="C10" s="240">
        <v>756268.29</v>
      </c>
    </row>
    <row r="11" spans="1:3" x14ac:dyDescent="0.2">
      <c r="A11" t="s">
        <v>780</v>
      </c>
      <c r="B11" s="240">
        <v>37166.65</v>
      </c>
      <c r="C11" s="240">
        <v>2843.25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1692229.13</v>
      </c>
      <c r="C13" s="231">
        <f>SUM(C10:C12)</f>
        <v>759111.54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974693.45000000007</v>
      </c>
      <c r="C18" s="229">
        <f>'DOE25'!G198+'DOE25'!G216+'DOE25'!G234+'DOE25'!G277+'DOE25'!G296+'DOE25'!G315</f>
        <v>221550.69999999998</v>
      </c>
    </row>
    <row r="19" spans="1:3" x14ac:dyDescent="0.2">
      <c r="A19" t="s">
        <v>779</v>
      </c>
      <c r="B19" s="240">
        <v>476320.08</v>
      </c>
      <c r="C19" s="240">
        <v>183425.14</v>
      </c>
    </row>
    <row r="20" spans="1:3" x14ac:dyDescent="0.2">
      <c r="A20" t="s">
        <v>780</v>
      </c>
      <c r="B20" s="240">
        <v>498373.37</v>
      </c>
      <c r="C20" s="240">
        <v>38125.56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974693.45</v>
      </c>
      <c r="C22" s="231">
        <f>SUM(C19:C21)</f>
        <v>221550.7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16950.849999999999</v>
      </c>
      <c r="C36" s="235">
        <f>'DOE25'!G200+'DOE25'!G218+'DOE25'!G236+'DOE25'!G279+'DOE25'!G298+'DOE25'!G317</f>
        <v>1930.66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16950.849999999999</v>
      </c>
      <c r="C39" s="240">
        <v>1930.66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16950.849999999999</v>
      </c>
      <c r="C40" s="231">
        <f>SUM(C37:C39)</f>
        <v>1930.66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Winchester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6783425.2699999996</v>
      </c>
      <c r="D5" s="20">
        <f>SUM('DOE25'!L197:L200)+SUM('DOE25'!L215:L218)+SUM('DOE25'!L233:L236)-F5-G5</f>
        <v>6783295.3199999994</v>
      </c>
      <c r="E5" s="243"/>
      <c r="F5" s="255">
        <f>SUM('DOE25'!J197:J200)+SUM('DOE25'!J215:J218)+SUM('DOE25'!J233:J236)</f>
        <v>129.94999999999999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521906.34</v>
      </c>
      <c r="D6" s="20">
        <f>'DOE25'!L202+'DOE25'!L220+'DOE25'!L238-F6-G6</f>
        <v>521906.34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109275.86000000002</v>
      </c>
      <c r="D7" s="20">
        <f>'DOE25'!L203+'DOE25'!L221+'DOE25'!L239-F7-G7</f>
        <v>109275.86000000002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141563.57</v>
      </c>
      <c r="D8" s="243"/>
      <c r="E8" s="20">
        <f>'DOE25'!L204+'DOE25'!L222+'DOE25'!L240-F8-G8-D9-D11</f>
        <v>131761.71</v>
      </c>
      <c r="F8" s="255">
        <f>'DOE25'!J204+'DOE25'!J222+'DOE25'!J240</f>
        <v>616.75</v>
      </c>
      <c r="G8" s="53">
        <f>'DOE25'!K204+'DOE25'!K222+'DOE25'!K240</f>
        <v>9185.11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69016.759999999995</v>
      </c>
      <c r="D9" s="244">
        <v>69016.759999999995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59873.84</v>
      </c>
      <c r="D10" s="243"/>
      <c r="E10" s="244">
        <v>59873.84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141660.32999999999</v>
      </c>
      <c r="D11" s="244">
        <v>141660.32999999999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192137.13999999998</v>
      </c>
      <c r="D12" s="20">
        <f>'DOE25'!L205+'DOE25'!L223+'DOE25'!L241-F12-G12</f>
        <v>190713.68</v>
      </c>
      <c r="E12" s="243"/>
      <c r="F12" s="255">
        <f>'DOE25'!J205+'DOE25'!J223+'DOE25'!J241</f>
        <v>0</v>
      </c>
      <c r="G12" s="53">
        <f>'DOE25'!K205+'DOE25'!K223+'DOE25'!K241</f>
        <v>1423.46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93169.77</v>
      </c>
      <c r="D13" s="243"/>
      <c r="E13" s="20">
        <f>'DOE25'!L206+'DOE25'!L224+'DOE25'!L242-F13-G13</f>
        <v>93169.77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517305.80000000005</v>
      </c>
      <c r="D14" s="20">
        <f>'DOE25'!L207+'DOE25'!L225+'DOE25'!L243-F14-G14</f>
        <v>492906.03</v>
      </c>
      <c r="E14" s="243"/>
      <c r="F14" s="255">
        <f>'DOE25'!J207+'DOE25'!J225+'DOE25'!J243</f>
        <v>24399.77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589789.59000000008</v>
      </c>
      <c r="D15" s="20">
        <f>'DOE25'!L208+'DOE25'!L226+'DOE25'!L244-F15-G15</f>
        <v>589789.59000000008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195274.64</v>
      </c>
      <c r="D16" s="243"/>
      <c r="E16" s="20">
        <f>'DOE25'!L209+'DOE25'!L227+'DOE25'!L245-F16-G16</f>
        <v>145202.64000000001</v>
      </c>
      <c r="F16" s="255">
        <f>'DOE25'!J209+'DOE25'!J227+'DOE25'!J245</f>
        <v>50072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234682</v>
      </c>
      <c r="D25" s="243"/>
      <c r="E25" s="243"/>
      <c r="F25" s="258"/>
      <c r="G25" s="256"/>
      <c r="H25" s="257">
        <f>'DOE25'!L260+'DOE25'!L261+'DOE25'!L341+'DOE25'!L342</f>
        <v>234682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109193.92</v>
      </c>
      <c r="D29" s="20">
        <f>'DOE25'!L358+'DOE25'!L359+'DOE25'!L360-'DOE25'!I367-F29-G29</f>
        <v>92928.31</v>
      </c>
      <c r="E29" s="243"/>
      <c r="F29" s="255">
        <f>'DOE25'!J358+'DOE25'!J359+'DOE25'!J360</f>
        <v>16265.61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510153.50000000006</v>
      </c>
      <c r="D31" s="20">
        <f>'DOE25'!L290+'DOE25'!L309+'DOE25'!L328+'DOE25'!L333+'DOE25'!L334+'DOE25'!L335-F31-G31</f>
        <v>510153.50000000006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9501645.7200000007</v>
      </c>
      <c r="E33" s="246">
        <f>SUM(E5:E31)</f>
        <v>430007.96</v>
      </c>
      <c r="F33" s="246">
        <f>SUM(F5:F31)</f>
        <v>91484.08</v>
      </c>
      <c r="G33" s="246">
        <f>SUM(G5:G31)</f>
        <v>10608.57</v>
      </c>
      <c r="H33" s="246">
        <f>SUM(H5:H31)</f>
        <v>234682</v>
      </c>
    </row>
    <row r="35" spans="2:8" ht="12" thickBot="1" x14ac:dyDescent="0.25">
      <c r="B35" s="253" t="s">
        <v>847</v>
      </c>
      <c r="D35" s="254">
        <f>E33</f>
        <v>430007.96</v>
      </c>
      <c r="E35" s="249"/>
    </row>
    <row r="36" spans="2:8" ht="12" thickTop="1" x14ac:dyDescent="0.2">
      <c r="B36" t="s">
        <v>815</v>
      </c>
      <c r="D36" s="20">
        <f>D33</f>
        <v>9501645.7200000007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111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Winchester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506140.99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511701.57</v>
      </c>
      <c r="D11" s="95">
        <f>'DOE25'!G12</f>
        <v>33755.730000000003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89355.72</v>
      </c>
      <c r="E12" s="95">
        <f>'DOE25'!H13</f>
        <v>421239.91</v>
      </c>
      <c r="F12" s="95">
        <f>'DOE25'!I13</f>
        <v>0</v>
      </c>
      <c r="G12" s="95">
        <f>'DOE25'!J13</f>
        <v>401041.87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51442.92</v>
      </c>
      <c r="D13" s="95">
        <f>'DOE25'!G14</f>
        <v>686.47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1847.78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35225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1104510.48</v>
      </c>
      <c r="D18" s="41">
        <f>SUM(D8:D17)</f>
        <v>125645.70000000001</v>
      </c>
      <c r="E18" s="41">
        <f>SUM(E8:E17)</f>
        <v>421239.91</v>
      </c>
      <c r="F18" s="41">
        <f>SUM(F8:F17)</f>
        <v>0</v>
      </c>
      <c r="G18" s="41">
        <f>SUM(G8:G17)</f>
        <v>401041.87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557020.84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75910.83</v>
      </c>
      <c r="D23" s="95">
        <f>'DOE25'!G24</f>
        <v>1500</v>
      </c>
      <c r="E23" s="95">
        <f>'DOE25'!H24</f>
        <v>38430.15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226947.96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-47800.15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1348.67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255058.63999999998</v>
      </c>
      <c r="D31" s="41">
        <f>SUM(D21:D30)</f>
        <v>2848.67</v>
      </c>
      <c r="E31" s="41">
        <f>SUM(E21:E30)</f>
        <v>595450.99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1847.78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35225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120949.25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401041.87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-174211.08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789226.84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849451.84</v>
      </c>
      <c r="D50" s="41">
        <f>SUM(D34:D49)</f>
        <v>122797.03</v>
      </c>
      <c r="E50" s="41">
        <f>SUM(E34:E49)</f>
        <v>-174211.08</v>
      </c>
      <c r="F50" s="41">
        <f>SUM(F34:F49)</f>
        <v>0</v>
      </c>
      <c r="G50" s="41">
        <f>SUM(G34:G49)</f>
        <v>401041.87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1104510.48</v>
      </c>
      <c r="D51" s="41">
        <f>D50+D31</f>
        <v>125645.7</v>
      </c>
      <c r="E51" s="41">
        <f>E50+E31</f>
        <v>421239.91000000003</v>
      </c>
      <c r="F51" s="41">
        <f>F50+F31</f>
        <v>0</v>
      </c>
      <c r="G51" s="41">
        <f>G50+G31</f>
        <v>401041.87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4955956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1726.51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7110.13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170008.50999999998</v>
      </c>
      <c r="D61" s="95">
        <f>SUM('DOE25'!G98:G110)</f>
        <v>1500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170008.50999999998</v>
      </c>
      <c r="D62" s="130">
        <f>SUM(D57:D61)</f>
        <v>8610.130000000001</v>
      </c>
      <c r="E62" s="130">
        <f>SUM(E57:E61)</f>
        <v>0</v>
      </c>
      <c r="F62" s="130">
        <f>SUM(F57:F61)</f>
        <v>0</v>
      </c>
      <c r="G62" s="130">
        <f>SUM(G57:G61)</f>
        <v>1726.51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5125964.51</v>
      </c>
      <c r="D63" s="22">
        <f>D56+D62</f>
        <v>8610.130000000001</v>
      </c>
      <c r="E63" s="22">
        <f>E56+E62</f>
        <v>0</v>
      </c>
      <c r="F63" s="22">
        <f>F56+F62</f>
        <v>0</v>
      </c>
      <c r="G63" s="22">
        <f>G56+G62</f>
        <v>1726.51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4152409.72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589964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4742373.7200000007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61928.18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12290.05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3122.32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74218.23</v>
      </c>
      <c r="D78" s="130">
        <f>SUM(D72:D77)</f>
        <v>3122.32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4816591.9500000011</v>
      </c>
      <c r="D81" s="130">
        <f>SUM(D79:D80)+D78+D70</f>
        <v>3122.32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178728.64</v>
      </c>
      <c r="D88" s="95">
        <f>SUM('DOE25'!G153:G161)</f>
        <v>210107.76</v>
      </c>
      <c r="E88" s="95">
        <f>SUM('DOE25'!H153:H161)</f>
        <v>510896.33000000007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178728.64</v>
      </c>
      <c r="D91" s="131">
        <f>SUM(D85:D90)</f>
        <v>210107.76</v>
      </c>
      <c r="E91" s="131">
        <f>SUM(E85:E90)</f>
        <v>510896.33000000007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65000</v>
      </c>
    </row>
    <row r="104" spans="1:7" ht="12.75" thickTop="1" thickBot="1" x14ac:dyDescent="0.25">
      <c r="A104" s="33" t="s">
        <v>765</v>
      </c>
      <c r="C104" s="86">
        <f>C63+C81+C91+C103</f>
        <v>10121285.100000001</v>
      </c>
      <c r="D104" s="86">
        <f>D63+D81+D91+D103</f>
        <v>221840.21000000002</v>
      </c>
      <c r="E104" s="86">
        <f>E63+E81+E91+E103</f>
        <v>510896.33000000007</v>
      </c>
      <c r="F104" s="86">
        <f>F63+F81+F91+F103</f>
        <v>0</v>
      </c>
      <c r="G104" s="86">
        <f>G63+G81+G103</f>
        <v>66726.509999999995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3839549.3200000003</v>
      </c>
      <c r="D109" s="24" t="s">
        <v>289</v>
      </c>
      <c r="E109" s="95">
        <f>('DOE25'!L276)+('DOE25'!L295)+('DOE25'!L314)</f>
        <v>302122.06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2917264.62</v>
      </c>
      <c r="D110" s="24" t="s">
        <v>289</v>
      </c>
      <c r="E110" s="95">
        <f>('DOE25'!L277)+('DOE25'!L296)+('DOE25'!L315)</f>
        <v>43848.56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26611.329999999998</v>
      </c>
      <c r="D112" s="24" t="s">
        <v>289</v>
      </c>
      <c r="E112" s="95">
        <f>+('DOE25'!L279)+('DOE25'!L298)+('DOE25'!L317)</f>
        <v>9340.39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6783425.2700000005</v>
      </c>
      <c r="D115" s="86">
        <f>SUM(D109:D114)</f>
        <v>0</v>
      </c>
      <c r="E115" s="86">
        <f>SUM(E109:E114)</f>
        <v>355311.01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521906.34</v>
      </c>
      <c r="D118" s="24" t="s">
        <v>289</v>
      </c>
      <c r="E118" s="95">
        <f>+('DOE25'!L281)+('DOE25'!L300)+('DOE25'!L319)</f>
        <v>50881.83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109275.86000000002</v>
      </c>
      <c r="D119" s="24" t="s">
        <v>289</v>
      </c>
      <c r="E119" s="95">
        <f>+('DOE25'!L282)+('DOE25'!L301)+('DOE25'!L320)</f>
        <v>103564.09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352240.66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192137.13999999998</v>
      </c>
      <c r="D121" s="24" t="s">
        <v>289</v>
      </c>
      <c r="E121" s="95">
        <f>+('DOE25'!L284)+('DOE25'!L303)+('DOE25'!L322)</f>
        <v>396.57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93169.77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517305.80000000005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589789.59000000008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195274.64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231712.56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2571099.8000000003</v>
      </c>
      <c r="D128" s="86">
        <f>SUM(D118:D127)</f>
        <v>231712.56</v>
      </c>
      <c r="E128" s="86">
        <f>SUM(E118:E127)</f>
        <v>154842.49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59682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15989.23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50737.279999999999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-1726.5099999999948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299682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9654207.0700000003</v>
      </c>
      <c r="D145" s="86">
        <f>(D115+D128+D144)</f>
        <v>231712.56</v>
      </c>
      <c r="E145" s="86">
        <f>(E115+E128+E144)</f>
        <v>510153.5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08/03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08/23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3504725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1575000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1575000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175000</v>
      </c>
    </row>
    <row r="159" spans="1:9" x14ac:dyDescent="0.2">
      <c r="A159" s="22" t="s">
        <v>35</v>
      </c>
      <c r="B159" s="137">
        <f>'DOE25'!F498</f>
        <v>1400000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1400000</v>
      </c>
    </row>
    <row r="160" spans="1:9" x14ac:dyDescent="0.2">
      <c r="A160" s="22" t="s">
        <v>36</v>
      </c>
      <c r="B160" s="137">
        <f>'DOE25'!F499</f>
        <v>205387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205387</v>
      </c>
    </row>
    <row r="161" spans="1:7" x14ac:dyDescent="0.2">
      <c r="A161" s="22" t="s">
        <v>37</v>
      </c>
      <c r="B161" s="137">
        <f>'DOE25'!F500</f>
        <v>1605387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1605387</v>
      </c>
    </row>
    <row r="162" spans="1:7" x14ac:dyDescent="0.2">
      <c r="A162" s="22" t="s">
        <v>38</v>
      </c>
      <c r="B162" s="137">
        <f>'DOE25'!F501</f>
        <v>175000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175000</v>
      </c>
    </row>
    <row r="163" spans="1:7" x14ac:dyDescent="0.2">
      <c r="A163" s="22" t="s">
        <v>39</v>
      </c>
      <c r="B163" s="137">
        <f>'DOE25'!F502</f>
        <v>50932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50932</v>
      </c>
    </row>
    <row r="164" spans="1:7" x14ac:dyDescent="0.2">
      <c r="A164" s="22" t="s">
        <v>246</v>
      </c>
      <c r="B164" s="137">
        <f>'DOE25'!F503</f>
        <v>225932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225932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C2" sqref="C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Winchester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15064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15064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4141671</v>
      </c>
      <c r="D10" s="182">
        <f>ROUND((C10/$C$28)*100,1)</f>
        <v>40.799999999999997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2961113</v>
      </c>
      <c r="D11" s="182">
        <f>ROUND((C11/$C$28)*100,1)</f>
        <v>29.2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35952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572788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212840</v>
      </c>
      <c r="D16" s="182">
        <f t="shared" si="0"/>
        <v>2.1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547515</v>
      </c>
      <c r="D17" s="182">
        <f t="shared" si="0"/>
        <v>5.4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192534</v>
      </c>
      <c r="D18" s="182">
        <f t="shared" si="0"/>
        <v>1.9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93170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517306</v>
      </c>
      <c r="D20" s="182">
        <f t="shared" si="0"/>
        <v>5.0999999999999996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589790</v>
      </c>
      <c r="D21" s="182">
        <f t="shared" si="0"/>
        <v>5.8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59682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223102.87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10147463.869999999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10147463.869999999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175000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4955956</v>
      </c>
      <c r="D35" s="182">
        <f t="shared" ref="D35:D40" si="1">ROUND((C35/$C$41)*100,1)</f>
        <v>45.7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171735.01999999955</v>
      </c>
      <c r="D36" s="182">
        <f t="shared" si="1"/>
        <v>1.6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4742374</v>
      </c>
      <c r="D37" s="182">
        <f t="shared" si="1"/>
        <v>43.7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77341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899733</v>
      </c>
      <c r="D39" s="182">
        <f t="shared" si="1"/>
        <v>8.3000000000000007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10847139.02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Winchester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B21" sqref="B21"/>
    </sheetView>
  </sheetViews>
  <sheetFormatPr defaultRowHeight="11.25" x14ac:dyDescent="0.2"/>
  <cols>
    <col min="1" max="1" width="17.33203125" customWidth="1"/>
    <col min="2" max="2" width="14.33203125" customWidth="1"/>
    <col min="3" max="3" width="14.1640625" customWidth="1"/>
    <col min="4" max="4" width="12" customWidth="1"/>
    <col min="5" max="5" width="17" customWidth="1"/>
  </cols>
  <sheetData>
    <row r="1" ht="15.95" customHeight="1" x14ac:dyDescent="0.2"/>
    <row r="2" ht="15.95" customHeight="1" x14ac:dyDescent="0.2"/>
    <row r="3" ht="15.95" customHeight="1" x14ac:dyDescent="0.2"/>
    <row r="4" ht="15.95" customHeight="1" x14ac:dyDescent="0.2"/>
    <row r="5" ht="15.95" customHeight="1" x14ac:dyDescent="0.2"/>
    <row r="6" ht="15.95" customHeight="1" x14ac:dyDescent="0.2"/>
    <row r="7" ht="15.95" customHeight="1" x14ac:dyDescent="0.2"/>
    <row r="8" ht="15.95" customHeight="1" x14ac:dyDescent="0.2"/>
    <row r="9" ht="15.95" customHeight="1" x14ac:dyDescent="0.2"/>
    <row r="10" ht="15.95" customHeight="1" x14ac:dyDescent="0.2"/>
    <row r="11" ht="15.95" customHeight="1" x14ac:dyDescent="0.2"/>
    <row r="12" ht="15.95" customHeight="1" x14ac:dyDescent="0.2"/>
    <row r="13" ht="15.95" customHeight="1" x14ac:dyDescent="0.2"/>
    <row r="14" ht="15.95" customHeight="1" x14ac:dyDescent="0.2"/>
    <row r="15" ht="15.95" customHeight="1" x14ac:dyDescent="0.2"/>
    <row r="16" ht="15.95" customHeight="1" x14ac:dyDescent="0.2"/>
    <row r="17" ht="15.95" customHeight="1" x14ac:dyDescent="0.2"/>
    <row r="18" ht="15.95" customHeight="1" x14ac:dyDescent="0.2"/>
    <row r="19" ht="15.95" customHeight="1" x14ac:dyDescent="0.2"/>
    <row r="20" ht="15.9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2016-11-17T15:28:51Z</cp:lastPrinted>
  <dcterms:created xsi:type="dcterms:W3CDTF">1997-12-04T19:04:30Z</dcterms:created>
  <dcterms:modified xsi:type="dcterms:W3CDTF">2016-11-22T13:40:35Z</dcterms:modified>
</cp:coreProperties>
</file>