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9" i="1" l="1"/>
  <c r="G439" i="1"/>
  <c r="J468" i="1"/>
  <c r="J179" i="1"/>
  <c r="D9" i="13" l="1"/>
  <c r="D11" i="13"/>
  <c r="C39" i="12"/>
  <c r="B39" i="12"/>
  <c r="C21" i="12"/>
  <c r="C20" i="12"/>
  <c r="C19" i="12"/>
  <c r="B19" i="12"/>
  <c r="B21" i="12"/>
  <c r="B20" i="12"/>
  <c r="C12" i="12"/>
  <c r="C11" i="12"/>
  <c r="C10" i="12"/>
  <c r="H604" i="1" l="1"/>
  <c r="H244" i="1"/>
  <c r="H208" i="1"/>
  <c r="J604" i="1"/>
  <c r="H595" i="1"/>
  <c r="J595" i="1"/>
  <c r="H582" i="1"/>
  <c r="F582" i="1"/>
  <c r="G533" i="1"/>
  <c r="G531" i="1"/>
  <c r="G523" i="1"/>
  <c r="G521" i="1"/>
  <c r="H533" i="1"/>
  <c r="H531" i="1"/>
  <c r="H523" i="1"/>
  <c r="H521" i="1"/>
  <c r="F533" i="1"/>
  <c r="F531" i="1"/>
  <c r="F523" i="1"/>
  <c r="F521" i="1"/>
  <c r="F502" i="1"/>
  <c r="J360" i="1"/>
  <c r="J358" i="1"/>
  <c r="J314" i="1"/>
  <c r="I317" i="1"/>
  <c r="H315" i="1"/>
  <c r="I281" i="1"/>
  <c r="J276" i="1"/>
  <c r="I276" i="1"/>
  <c r="F202" i="1"/>
  <c r="F238" i="1"/>
  <c r="F233" i="1"/>
  <c r="F234" i="1"/>
  <c r="F198" i="1"/>
  <c r="F197" i="1"/>
  <c r="F239" i="1"/>
  <c r="F203" i="1"/>
  <c r="F5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C122" i="2" s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C110" i="2" s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E112" i="2" s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29" i="10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5" i="10"/>
  <c r="C16" i="10"/>
  <c r="L250" i="1"/>
  <c r="L332" i="1"/>
  <c r="L254" i="1"/>
  <c r="L268" i="1"/>
  <c r="L269" i="1"/>
  <c r="L349" i="1"/>
  <c r="L350" i="1"/>
  <c r="I665" i="1"/>
  <c r="I670" i="1"/>
  <c r="L229" i="1"/>
  <c r="F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E62" i="2" s="1"/>
  <c r="E63" i="2" s="1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C118" i="2"/>
  <c r="E118" i="2"/>
  <c r="E120" i="2"/>
  <c r="E121" i="2"/>
  <c r="E122" i="2"/>
  <c r="C123" i="2"/>
  <c r="E124" i="2"/>
  <c r="C125" i="2"/>
  <c r="E125" i="2"/>
  <c r="F128" i="2"/>
  <c r="G128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G470" i="1"/>
  <c r="H470" i="1"/>
  <c r="H476" i="1" s="1"/>
  <c r="H624" i="1" s="1"/>
  <c r="I470" i="1"/>
  <c r="I476" i="1" s="1"/>
  <c r="H625" i="1" s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2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F192" i="1"/>
  <c r="K257" i="1"/>
  <c r="G164" i="2"/>
  <c r="C18" i="2"/>
  <c r="C26" i="10"/>
  <c r="L351" i="1"/>
  <c r="C70" i="2"/>
  <c r="A40" i="12"/>
  <c r="D18" i="13"/>
  <c r="C18" i="13" s="1"/>
  <c r="D17" i="13"/>
  <c r="C17" i="13" s="1"/>
  <c r="D6" i="13"/>
  <c r="C6" i="13" s="1"/>
  <c r="E8" i="13"/>
  <c r="C8" i="13" s="1"/>
  <c r="C91" i="2"/>
  <c r="F78" i="2"/>
  <c r="F81" i="2" s="1"/>
  <c r="G157" i="2"/>
  <c r="F18" i="2"/>
  <c r="G161" i="2"/>
  <c r="G156" i="2"/>
  <c r="E103" i="2"/>
  <c r="D91" i="2"/>
  <c r="G62" i="2"/>
  <c r="D19" i="13"/>
  <c r="C19" i="13" s="1"/>
  <c r="D14" i="13"/>
  <c r="C14" i="13" s="1"/>
  <c r="E78" i="2"/>
  <c r="E81" i="2" s="1"/>
  <c r="L427" i="1"/>
  <c r="H112" i="1"/>
  <c r="J641" i="1"/>
  <c r="J571" i="1"/>
  <c r="L433" i="1"/>
  <c r="L419" i="1"/>
  <c r="D81" i="2"/>
  <c r="I169" i="1"/>
  <c r="H169" i="1"/>
  <c r="J643" i="1"/>
  <c r="J476" i="1"/>
  <c r="H626" i="1" s="1"/>
  <c r="F169" i="1"/>
  <c r="J140" i="1"/>
  <c r="I552" i="1"/>
  <c r="K550" i="1"/>
  <c r="G22" i="2"/>
  <c r="H552" i="1"/>
  <c r="H140" i="1"/>
  <c r="L401" i="1"/>
  <c r="C139" i="2" s="1"/>
  <c r="L393" i="1"/>
  <c r="F22" i="13"/>
  <c r="C22" i="13" s="1"/>
  <c r="H25" i="13"/>
  <c r="C25" i="13" s="1"/>
  <c r="H571" i="1"/>
  <c r="L560" i="1"/>
  <c r="G192" i="1"/>
  <c r="L309" i="1"/>
  <c r="L570" i="1"/>
  <c r="I571" i="1"/>
  <c r="G36" i="2"/>
  <c r="C138" i="2"/>
  <c r="J640" i="1" l="1"/>
  <c r="J645" i="1"/>
  <c r="J655" i="1"/>
  <c r="D127" i="2"/>
  <c r="D128" i="2" s="1"/>
  <c r="H647" i="1"/>
  <c r="J644" i="1"/>
  <c r="K503" i="1"/>
  <c r="J639" i="1"/>
  <c r="H661" i="1"/>
  <c r="G661" i="1"/>
  <c r="D29" i="13"/>
  <c r="C29" i="13" s="1"/>
  <c r="E109" i="2"/>
  <c r="H338" i="1"/>
  <c r="H352" i="1" s="1"/>
  <c r="A13" i="12"/>
  <c r="L529" i="1"/>
  <c r="K549" i="1"/>
  <c r="K545" i="1"/>
  <c r="J636" i="1"/>
  <c r="K352" i="1"/>
  <c r="C132" i="2"/>
  <c r="K271" i="1"/>
  <c r="H33" i="13"/>
  <c r="C119" i="2"/>
  <c r="J545" i="1"/>
  <c r="J338" i="1"/>
  <c r="J352" i="1" s="1"/>
  <c r="J257" i="1"/>
  <c r="J271" i="1" s="1"/>
  <c r="K551" i="1"/>
  <c r="C12" i="10"/>
  <c r="D15" i="13"/>
  <c r="C15" i="13" s="1"/>
  <c r="J625" i="1"/>
  <c r="K598" i="1"/>
  <c r="G647" i="1" s="1"/>
  <c r="J649" i="1"/>
  <c r="L565" i="1"/>
  <c r="L571" i="1" s="1"/>
  <c r="H545" i="1"/>
  <c r="J552" i="1"/>
  <c r="L544" i="1"/>
  <c r="I369" i="1"/>
  <c r="H634" i="1" s="1"/>
  <c r="J634" i="1" s="1"/>
  <c r="C130" i="2"/>
  <c r="H257" i="1"/>
  <c r="H271" i="1" s="1"/>
  <c r="J624" i="1"/>
  <c r="G545" i="1"/>
  <c r="D145" i="2"/>
  <c r="G338" i="1"/>
  <c r="G352" i="1" s="1"/>
  <c r="E128" i="2"/>
  <c r="C18" i="10"/>
  <c r="G257" i="1"/>
  <c r="G271" i="1" s="1"/>
  <c r="C121" i="2"/>
  <c r="L211" i="1"/>
  <c r="J623" i="1"/>
  <c r="L614" i="1"/>
  <c r="F552" i="1"/>
  <c r="L524" i="1"/>
  <c r="L545" i="1" s="1"/>
  <c r="L328" i="1"/>
  <c r="E110" i="2"/>
  <c r="E115" i="2" s="1"/>
  <c r="F338" i="1"/>
  <c r="F352" i="1" s="1"/>
  <c r="L290" i="1"/>
  <c r="C21" i="10"/>
  <c r="G651" i="1"/>
  <c r="J651" i="1" s="1"/>
  <c r="C20" i="10"/>
  <c r="C19" i="10"/>
  <c r="C17" i="10"/>
  <c r="D7" i="13"/>
  <c r="C7" i="13" s="1"/>
  <c r="C11" i="10"/>
  <c r="D5" i="13"/>
  <c r="C5" i="13" s="1"/>
  <c r="C109" i="2"/>
  <c r="C115" i="2" s="1"/>
  <c r="L247" i="1"/>
  <c r="C10" i="10"/>
  <c r="F257" i="1"/>
  <c r="F271" i="1" s="1"/>
  <c r="C124" i="2"/>
  <c r="F662" i="1"/>
  <c r="I662" i="1" s="1"/>
  <c r="E13" i="13"/>
  <c r="C13" i="13" s="1"/>
  <c r="D12" i="13"/>
  <c r="C12" i="13" s="1"/>
  <c r="C78" i="2"/>
  <c r="C81" i="2"/>
  <c r="F112" i="1"/>
  <c r="C62" i="2"/>
  <c r="C35" i="10"/>
  <c r="C36" i="10" s="1"/>
  <c r="C56" i="2"/>
  <c r="C63" i="2" s="1"/>
  <c r="C104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664" i="1" l="1"/>
  <c r="G672" i="1" s="1"/>
  <c r="C5" i="10" s="1"/>
  <c r="I661" i="1"/>
  <c r="J647" i="1"/>
  <c r="G104" i="2"/>
  <c r="K552" i="1"/>
  <c r="H646" i="1"/>
  <c r="J646" i="1" s="1"/>
  <c r="F193" i="1"/>
  <c r="G627" i="1" s="1"/>
  <c r="J627" i="1" s="1"/>
  <c r="E145" i="2"/>
  <c r="C128" i="2"/>
  <c r="C145" i="2" s="1"/>
  <c r="F660" i="1"/>
  <c r="F664" i="1" s="1"/>
  <c r="F672" i="1" s="1"/>
  <c r="C4" i="10" s="1"/>
  <c r="H660" i="1"/>
  <c r="H664" i="1" s="1"/>
  <c r="D31" i="13"/>
  <c r="C31" i="13" s="1"/>
  <c r="L338" i="1"/>
  <c r="L352" i="1" s="1"/>
  <c r="G633" i="1" s="1"/>
  <c r="J633" i="1" s="1"/>
  <c r="G667" i="1"/>
  <c r="L257" i="1"/>
  <c r="L271" i="1" s="1"/>
  <c r="G632" i="1" s="1"/>
  <c r="J632" i="1" s="1"/>
  <c r="C28" i="10"/>
  <c r="D23" i="10" s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7" i="1"/>
  <c r="D33" i="13"/>
  <c r="D36" i="13" s="1"/>
  <c r="D27" i="10"/>
  <c r="D10" i="10"/>
  <c r="D20" i="10"/>
  <c r="D26" i="10"/>
  <c r="D13" i="10"/>
  <c r="D15" i="10"/>
  <c r="D18" i="10"/>
  <c r="D17" i="10"/>
  <c r="D11" i="10"/>
  <c r="C30" i="10"/>
  <c r="D25" i="10"/>
  <c r="D21" i="10"/>
  <c r="D12" i="10"/>
  <c r="D16" i="10"/>
  <c r="D19" i="10"/>
  <c r="D22" i="10"/>
  <c r="D24" i="10"/>
  <c r="H672" i="1"/>
  <c r="C6" i="10" s="1"/>
  <c r="H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<sst xmlns="http://schemas.openxmlformats.org/spreadsheetml/2006/main" count="3962" uniqueCount="920">
  <si>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</si>
  <si>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</si>
  <si>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</si>
  <si>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</si>
  <si>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</si>
  <si>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</si>
  <si>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</si>
  <si>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</si>
  <si>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</si>
  <si>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</si>
  <si>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</si>
  <si>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</si>
  <si>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</si>
  <si>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</si>
  <si>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</si>
  <si>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</si>
  <si>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</si>
  <si>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</si>
  <si>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</si>
  <si>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</si>
  <si>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</si>
  <si>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</si>
  <si>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</si>
  <si>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</si>
  <si>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</si>
  <si>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</si>
  <si>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</si>
  <si>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</si>
  <si>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</si>
  <si>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</si>
  <si>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</si>
  <si>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</si>
  <si>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</si>
  <si>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</si>
  <si>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</si>
  <si>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</si>
  <si>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</si>
  <si>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</si>
  <si>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</si>
  <si>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</si>
  <si>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</si>
  <si>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</si>
  <si>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</si>
  <si>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</si>
  <si>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</si>
  <si>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</si>
  <si>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</si>
  <si>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</si>
  <si>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</si>
  <si>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</si>
  <si>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</si>
  <si>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</si>
  <si>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</si>
  <si>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</si>
  <si>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</si>
  <si>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</si>
  <si>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</si>
  <si>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</si>
  <si>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</si>
  <si>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</si>
  <si>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</si>
  <si>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</si>
  <si>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</si>
  <si>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</si>
  <si>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</si>
  <si>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</si>
  <si>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</si>
  <si>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</si>
  <si>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</si>
  <si>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</si>
  <si>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</si>
  <si>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</si>
  <si>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</si>
  <si>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</si>
  <si>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</si>
  <si>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</si>
  <si>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</si>
  <si>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</si>
  <si>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</si>
  <si>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</si>
  <si>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</si>
  <si>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</si>
  <si>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</si>
  <si>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</si>
  <si>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</si>
  <si>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</si>
  <si>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</si>
  <si>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</si>
  <si>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</si>
  <si>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</si>
  <si>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</si>
  <si>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</si>
  <si>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</si>
  <si>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</si>
  <si>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</si>
  <si>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</si>
  <si>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</si>
  <si>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</si>
  <si>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</si>
  <si>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</si>
  <si>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</si>
  <si>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</si>
  <si>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</si>
  <si>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</si>
  <si>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</si>
  <si>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</si>
  <si>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</si>
  <si>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</si>
  <si>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</si>
  <si>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</si>
  <si>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</si>
  <si>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</si>
  <si>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</si>
  <si>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</si>
  <si>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</si>
  <si>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</si>
  <si>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</si>
  <si>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</si>
  <si>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</si>
  <si>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</si>
  <si>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</si>
  <si>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</si>
  <si>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</si>
  <si>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</si>
  <si>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</si>
  <si>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</si>
  <si>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</si>
  <si>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</si>
  <si>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</si>
  <si>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</si>
  <si>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</si>
  <si>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</si>
  <si>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</si>
  <si>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</si>
  <si>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</si>
  <si>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</si>
  <si>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</si>
  <si>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</si>
  <si>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</si>
  <si>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</si>
  <si>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</si>
  <si>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</si>
  <si>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</si>
  <si>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</si>
  <si>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</si>
  <si>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</si>
  <si>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</si>
  <si>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</si>
  <si>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</si>
  <si>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</si>
  <si>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</si>
  <si>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</si>
  <si>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</si>
  <si>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</si>
  <si>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</si>
  <si>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</si>
  <si>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</si>
  <si>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</si>
  <si>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</si>
  <si>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</si>
  <si>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</si>
  <si>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</si>
  <si>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</si>
  <si>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</si>
  <si>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</si>
  <si>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</si>
  <si>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</si>
  <si>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</si>
  <si>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</si>
  <si>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</si>
  <si>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</si>
  <si>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</si>
  <si>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</si>
  <si>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</si>
  <si>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</si>
  <si>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</si>
  <si>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</si>
  <si>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</si>
  <si>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</si>
  <si>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</si>
  <si>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</si>
  <si>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</si>
  <si>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</si>
  <si>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</si>
  <si>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</si>
  <si>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</si>
  <si>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</si>
  <si>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</si>
  <si>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</si>
  <si>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</si>
  <si>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</si>
  <si>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</si>
  <si>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</si>
  <si>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</si>
  <si>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</si>
  <si>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</si>
  <si>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</si>
  <si>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</si>
  <si>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</si>
  <si>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</si>
  <si>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</si>
  <si>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</si>
  <si>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</si>
  <si>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</si>
  <si>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</si>
  <si>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</si>
  <si>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</si>
  <si>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</si>
  <si>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</si>
  <si>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</si>
  <si>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</si>
  <si>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</si>
  <si>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</si>
  <si>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</si>
  <si>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</si>
  <si>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</si>
  <si>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</si>
  <si>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</si>
  <si>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</si>
  <si>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</si>
  <si>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</si>
  <si>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</si>
  <si>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</si>
  <si>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</si>
  <si>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</si>
  <si>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</si>
  <si>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</si>
  <si>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</si>
  <si>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</si>
  <si>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</si>
  <si>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</si>
  <si>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</si>
  <si>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</si>
  <si>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</si>
  <si>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</si>
  <si>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</si>
  <si>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</si>
  <si>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</si>
  <si>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</si>
  <si>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</si>
  <si>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</si>
  <si>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</si>
  <si>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</si>
  <si>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</si>
  <si>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</si>
  <si>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</si>
  <si>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</si>
  <si>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</si>
  <si>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</si>
  <si>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</si>
  <si>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</si>
  <si>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</si>
  <si>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</si>
  <si>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</si>
  <si>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</si>
  <si>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</si>
  <si>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</si>
  <si>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</si>
  <si>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</si>
  <si>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</si>
  <si>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</si>
  <si>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</si>
  <si>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</si>
  <si>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</si>
  <si>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</si>
  <si>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</si>
  <si>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</si>
  <si>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</si>
  <si>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</si>
  <si>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</si>
  <si>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</si>
  <si>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</si>
  <si>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</si>
  <si>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</si>
  <si>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</si>
  <si>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</si>
  <si>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</si>
  <si>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</si>
  <si>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</si>
  <si>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</si>
  <si>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</si>
  <si>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</si>
  <si>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</si>
  <si>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</si>
  <si>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</si>
  <si>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</si>
  <si>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</si>
  <si>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</si>
  <si>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</si>
  <si>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</si>
  <si>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</si>
  <si>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</si>
  <si>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</si>
  <si>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</si>
  <si>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</si>
  <si>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</si>
  <si>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</si>
  <si>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</si>
  <si>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</si>
  <si>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</si>
  <si>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</si>
  <si>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</si>
  <si>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</si>
  <si>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</si>
  <si>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</si>
  <si>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</si>
  <si>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</si>
  <si>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</si>
  <si>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</si>
  <si>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</si>
  <si>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</si>
  <si>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</si>
  <si>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</si>
  <si>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</si>
  <si>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</si>
  <si>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</si>
  <si>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</si>
  <si>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</si>
  <si>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</si>
  <si>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</si>
  <si>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</si>
  <si>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</si>
  <si>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</si>
  <si>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</si>
  <si>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</si>
  <si>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</si>
  <si>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</si>
  <si>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</si>
  <si>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</si>
  <si>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</si>
  <si>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</si>
  <si>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</si>
  <si>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</si>
  <si>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</si>
  <si>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</si>
  <si>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</si>
  <si>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</si>
  <si>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</si>
  <si>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</si>
  <si>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</si>
  <si>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</si>
  <si>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</si>
  <si>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</si>
  <si>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</si>
  <si>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</si>
  <si>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</si>
  <si>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</si>
  <si>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</si>
  <si>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</si>
  <si>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</si>
  <si>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</si>
  <si>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</si>
  <si>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</si>
  <si>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</si>
  <si>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</si>
  <si>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</si>
  <si>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</si>
  <si>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</si>
  <si>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</si>
  <si>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</si>
  <si>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</si>
  <si>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</si>
  <si>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</si>
  <si>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</si>
  <si>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</si>
  <si>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</si>
  <si>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</si>
  <si>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</si>
  <si>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</si>
  <si>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</si>
  <si>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</si>
  <si>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</si>
  <si>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</si>
  <si>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</si>
  <si>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</si>
  <si>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</si>
  <si>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</si>
  <si>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</si>
  <si>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</si>
  <si>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</si>
  <si>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</si>
  <si>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</si>
  <si>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</si>
  <si>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</si>
  <si>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</si>
  <si>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</si>
  <si>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</si>
  <si>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</si>
  <si>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</si>
  <si>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</si>
  <si>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</si>
  <si>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</si>
  <si>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</si>
  <si>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</si>
  <si>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</si>
  <si>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</si>
  <si>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</si>
  <si>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</si>
  <si>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</si>
  <si>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</si>
  <si>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</si>
  <si>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</si>
  <si>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</si>
  <si>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</si>
  <si>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</si>
  <si>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</si>
  <si>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</si>
  <si>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</si>
  <si>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</si>
  <si>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</si>
  <si>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</si>
  <si>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</si>
  <si>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</si>
  <si>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</si>
  <si>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</si>
  <si>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</si>
  <si>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</si>
  <si>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</si>
  <si>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</si>
  <si>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</si>
  <si>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</si>
  <si>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</si>
  <si>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</si>
  <si>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</si>
  <si>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</si>
  <si>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</si>
  <si>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</si>
  <si>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</si>
  <si>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</si>
  <si>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</si>
  <si>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</si>
  <si>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</si>
  <si>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</si>
  <si>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</si>
  <si>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</si>
  <si>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</si>
  <si>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</si>
  <si>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</si>
  <si>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</si>
  <si>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</si>
  <si>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</si>
  <si>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</si>
  <si>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</si>
  <si>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</si>
  <si>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</si>
  <si>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</si>
  <si>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</si>
  <si>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</si>
  <si>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</si>
  <si>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</si>
  <si>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</si>
  <si>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</si>
  <si>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</si>
  <si>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</si>
  <si>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</si>
  <si>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</si>
  <si>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</si>
  <si>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</si>
  <si>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</si>
  <si>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</si>
  <si>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</si>
  <si>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</si>
  <si>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</si>
  <si>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</si>
  <si>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</si>
  <si>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</si>
  <si>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</si>
  <si>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</si>
  <si>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</si>
  <si>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</si>
  <si>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</si>
  <si>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</si>
  <si>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</si>
  <si>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</si>
  <si>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</si>
  <si>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</si>
  <si>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</si>
  <si>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</si>
  <si>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</si>
  <si>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</si>
  <si>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</si>
  <si>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</si>
  <si>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</si>
  <si>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</si>
  <si>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</si>
  <si>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</si>
  <si>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</si>
  <si>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</si>
  <si>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</si>
  <si>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</si>
  <si>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</si>
  <si>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</si>
  <si>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</si>
  <si>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</si>
  <si>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</si>
  <si>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</si>
  <si>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</si>
  <si>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</si>
  <si>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</si>
  <si>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</si>
  <si>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</si>
  <si>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</si>
  <si>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</si>
  <si>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</si>
  <si>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</si>
  <si>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</si>
  <si>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</si>
  <si>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</si>
  <si>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</si>
  <si>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</si>
  <si>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</si>
  <si>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</si>
  <si>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</si>
  <si>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</si>
  <si>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</si>
  <si>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</si>
  <si>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</si>
  <si>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</si>
  <si>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</si>
  <si>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</si>
  <si>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</si>
  <si>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</si>
  <si>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</si>
  <si>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</si>
  <si>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</si>
  <si>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</si>
  <si>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</si>
  <si>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</si>
  <si>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</si>
  <si>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</si>
  <si>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</si>
  <si>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</si>
  <si>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</si>
  <si>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</si>
  <si>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</si>
  <si>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</si>
  <si>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</si>
  <si>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</si>
  <si>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</si>
  <si>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</si>
  <si>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</si>
  <si>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</si>
  <si>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</si>
  <si>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</si>
  <si>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</si>
  <si>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</si>
  <si>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</si>
  <si>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</si>
  <si>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</si>
  <si>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</si>
  <si>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</si>
  <si>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</si>
  <si>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</si>
  <si>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</si>
  <si>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</si>
  <si>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</si>
  <si>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</si>
  <si>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</si>
  <si>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</si>
  <si>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</si>
  <si>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</si>
  <si>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</si>
  <si>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</si>
  <si>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</si>
  <si>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</si>
  <si>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</si>
  <si>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</si>
  <si>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</si>
  <si>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</si>
  <si>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</si>
  <si>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</si>
  <si>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</si>
  <si>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</si>
  <si>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</si>
  <si>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</si>
  <si>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</si>
  <si>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</si>
  <si>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</si>
  <si>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</si>
  <si>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</si>
  <si>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</si>
  <si>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</si>
  <si>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</si>
  <si>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</si>
  <si>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</si>
  <si>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</si>
  <si>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</si>
  <si>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</si>
  <si>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</si>
  <si>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</si>
  <si>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</si>
  <si>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</si>
  <si>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</si>
  <si>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</si>
  <si>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</si>
  <si>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</si>
  <si>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</si>
  <si>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</si>
  <si>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</si>
  <si>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</si>
  <si>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</si>
  <si>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</si>
  <si>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</si>
  <si>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</si>
  <si>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</si>
  <si>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</si>
  <si>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</si>
  <si>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</si>
  <si>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</si>
  <si>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</si>
  <si>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</si>
  <si>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</si>
  <si>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</si>
  <si>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</si>
  <si>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</si>
  <si>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</si>
  <si>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</si>
  <si>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</si>
  <si>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</si>
  <si>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</si>
  <si>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</si>
  <si>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</si>
  <si>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</si>
  <si>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</si>
  <si>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</si>
  <si>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</si>
  <si>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</si>
  <si>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</si>
  <si>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</si>
  <si>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</si>
  <si>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</si>
  <si>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</si>
  <si>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</si>
  <si>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</si>
  <si>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</si>
  <si>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</si>
  <si>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</si>
  <si>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</si>
  <si>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</si>
  <si>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</si>
  <si>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</si>
  <si>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</si>
  <si>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</si>
  <si>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</si>
  <si>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</si>
  <si>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</si>
  <si>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</si>
  <si>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</si>
  <si>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</si>
  <si>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</si>
  <si>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</si>
  <si>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</si>
  <si>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</si>
  <si>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</si>
  <si>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</si>
  <si>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</si>
  <si>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</si>
  <si>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</si>
  <si>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</si>
  <si>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</si>
  <si>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</si>
  <si>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</si>
  <si>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</si>
  <si>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</si>
  <si>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</si>
  <si>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</si>
  <si>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</si>
  <si>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</si>
  <si>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</si>
  <si>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</si>
  <si>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</si>
  <si>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</si>
  <si>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</si>
  <si>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</si>
  <si>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</si>
  <si>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</si>
  <si>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</si>
  <si>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</si>
  <si>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</si>
  <si>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</si>
  <si>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</si>
  <si>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</si>
  <si>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</si>
  <si>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</si>
  <si>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</si>
  <si>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</si>
  <si>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</si>
  <si>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</si>
  <si>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</si>
  <si>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</si>
  <si>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</si>
  <si>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</si>
  <si>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</si>
  <si>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</si>
  <si>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</si>
  <si>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</si>
  <si>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</si>
  <si>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</si>
  <si>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</si>
  <si>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</si>
  <si>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</si>
  <si>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</si>
  <si>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</si>
  <si>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</si>
  <si>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</si>
  <si>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</si>
  <si>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</si>
  <si>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</si>
  <si>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</si>
  <si>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</si>
  <si>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</si>
  <si>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</si>
  <si>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</si>
  <si>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</si>
  <si>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</si>
  <si>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</si>
  <si>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</si>
  <si>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</si>
  <si>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</si>
  <si>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</si>
  <si>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</si>
  <si>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</si>
  <si>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</si>
  <si>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</si>
  <si>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</si>
  <si>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</si>
  <si>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</si>
  <si>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</si>
  <si>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</si>
  <si>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</si>
  <si>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</si>
  <si>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</si>
  <si>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</si>
  <si>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</si>
  <si>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</si>
  <si>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</si>
  <si>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</si>
  <si>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</si>
  <si>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</si>
  <si>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</si>
  <si>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</si>
  <si>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</si>
  <si>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</si>
  <si>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</si>
  <si>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</si>
  <si>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</si>
  <si>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</si>
  <si>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</si>
  <si>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</si>
  <si>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</si>
  <si>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</si>
  <si>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</si>
  <si>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</si>
  <si>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</si>
  <si>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</si>
  <si>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</si>
  <si>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</si>
  <si>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</si>
  <si>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</si>
  <si>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</si>
  <si>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</si>
  <si>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</si>
  <si>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</si>
  <si>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</si>
  <si>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</si>
  <si>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</si>
  <si>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</si>
  <si>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</si>
  <si>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</si>
  <si>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</si>
  <si>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</si>
  <si>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</si>
  <si>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</si>
  <si>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</si>
  <si>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</si>
  <si>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</si>
  <si>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</si>
  <si>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</si>
  <si>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</si>
  <si>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</si>
  <si>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</si>
  <si>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</si>
  <si>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</si>
  <si>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</si>
  <si>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</si>
  <si>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</si>
  <si>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</si>
  <si>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</si>
  <si>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</si>
  <si>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</si>
  <si>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</si>
  <si>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</si>
  <si>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</si>
  <si>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</si>
  <si>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</si>
  <si>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</si>
  <si>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</si>
  <si>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</si>
  <si>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</si>
  <si>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</si>
  <si>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</si>
  <si>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</si>
  <si>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</si>
  <si>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</si>
  <si>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</si>
  <si>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</si>
  <si>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</si>
  <si>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</si>
  <si>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</si>
  <si>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</si>
  <si>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</si>
  <si>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</si>
  <si>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</si>
  <si>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</si>
  <si>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</si>
  <si>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</si>
  <si>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</si>
  <si>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</si>
  <si>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</si>
  <si>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</si>
  <si>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</si>
  <si>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</si>
  <si>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</si>
  <si>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</si>
  <si>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</si>
  <si>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</si>
  <si>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</si>
  <si>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</si>
  <si>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</si>
  <si>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</si>
  <si>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</si>
  <si>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</si>
  <si>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</si>
  <si>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</si>
  <si>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</si>
  <si>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</si>
  <si>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</si>
  <si>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</si>
  <si>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</si>
  <si>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</si>
  <si>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</si>
  <si>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</si>
  <si>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</si>
  <si>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</si>
  <si>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</si>
  <si>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</si>
  <si>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</si>
  <si>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</si>
  <si>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</si>
  <si>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</si>
  <si>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</si>
  <si>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</si>
  <si>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</si>
  <si>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</si>
  <si>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</si>
  <si>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</si>
  <si>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</si>
  <si>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</si>
  <si>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</si>
  <si>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</si>
  <si>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</si>
  <si>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</si>
  <si>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</si>
  <si>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</si>
  <si>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</si>
  <si>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</si>
  <si>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</si>
  <si>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</si>
  <si>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</si>
  <si>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</si>
  <si>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</si>
  <si>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</si>
  <si>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</si>
  <si>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</si>
  <si>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</si>
  <si>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</si>
  <si>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</si>
  <si>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</si>
  <si>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</si>
  <si>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</si>
  <si>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</si>
  <si>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</si>
  <si>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</si>
  <si>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</si>
  <si>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</si>
  <si>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</si>
  <si>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</si>
  <si>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</si>
  <si>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</si>
  <si>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</si>
  <si>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</si>
  <si>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</si>
  <si>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</si>
  <si>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</si>
  <si>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</si>
  <si>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</si>
  <si>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</si>
  <si>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</si>
  <si>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</si>
  <si>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</si>
  <si>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</si>
  <si>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</si>
  <si>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</si>
  <si>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</si>
  <si>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</si>
  <si>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</si>
  <si>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</si>
  <si>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</si>
  <si>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</si>
  <si>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</si>
  <si>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</si>
  <si>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</si>
  <si>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07/2008</t>
  </si>
  <si>
    <t>08/2018</t>
  </si>
  <si>
    <t>07/2025</t>
  </si>
  <si>
    <t>This includes impact fees and the Healthtrust premium refund</t>
  </si>
  <si>
    <t>This is the amount we received for Differntiated Aid</t>
  </si>
  <si>
    <t>This is the amount the District received for FEMA Aid</t>
  </si>
  <si>
    <t>Refinanced 01/15/2015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</si>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</sst>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575</v>
      </c>
      <c r="C2" s="21">
        <v>575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2336834.91</v>
      </c>
      <c r="G9" s="18"/>
      <c r="H9" s="18"/>
      <c r="I9" s="18"/>
      <c r="J9" s="67">
        <f>SUM(I439)</f>
        <v>706169.91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196976.96</v>
      </c>
      <c r="H12" s="18">
        <v>44010.45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42013.84</v>
      </c>
      <c r="G13" s="18">
        <v>7180.05</v>
      </c>
      <c r="H13" s="18">
        <v>155194.95000000001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9862.2199999999993</v>
      </c>
      <c r="G14" s="18">
        <v>210</v>
      </c>
      <c r="H14" s="18">
        <v>700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25821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3641.28</v>
      </c>
      <c r="G17" s="18">
        <v>2289.21</v>
      </c>
      <c r="H17" s="18">
        <v>664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2392352.25</v>
      </c>
      <c r="G19" s="41">
        <f>SUM(G9:G18)</f>
        <v>232477.21999999997</v>
      </c>
      <c r="H19" s="41">
        <f>SUM(H9:H18)</f>
        <v>200569.40000000002</v>
      </c>
      <c r="I19" s="41">
        <f>SUM(I9:I18)</f>
        <v>0</v>
      </c>
      <c r="J19" s="41">
        <f>SUM(J9:J18)</f>
        <v>706169.91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240987.4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1260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178932.6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>
        <v>19800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3600</v>
      </c>
      <c r="G30" s="18">
        <v>35953.25</v>
      </c>
      <c r="H30" s="18">
        <v>71329.919999999998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424780</v>
      </c>
      <c r="G32" s="41">
        <f>SUM(G22:G31)</f>
        <v>35953.25</v>
      </c>
      <c r="H32" s="41">
        <f>SUM(H22:H31)</f>
        <v>91129.919999999998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25821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170702.97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344325</v>
      </c>
      <c r="G48" s="18"/>
      <c r="H48" s="18">
        <v>109439.48</v>
      </c>
      <c r="I48" s="18"/>
      <c r="J48" s="13">
        <f>SUM(I459)</f>
        <v>706169.91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109368.26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1513878.99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1967572.25</v>
      </c>
      <c r="G51" s="41">
        <f>SUM(G35:G50)</f>
        <v>196523.97</v>
      </c>
      <c r="H51" s="41">
        <f>SUM(H35:H50)</f>
        <v>109439.48</v>
      </c>
      <c r="I51" s="41">
        <f>SUM(I35:I50)</f>
        <v>0</v>
      </c>
      <c r="J51" s="41">
        <f>SUM(J35:J50)</f>
        <v>706169.91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2392352.25</v>
      </c>
      <c r="G52" s="41">
        <f>G51+G32</f>
        <v>232477.22</v>
      </c>
      <c r="H52" s="41">
        <f>H51+H32</f>
        <v>200569.4</v>
      </c>
      <c r="I52" s="41">
        <f>I51+I32</f>
        <v>0</v>
      </c>
      <c r="J52" s="41">
        <f>J51+J32</f>
        <v>706169.91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38955348-5128390</f>
        <v>33826958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33826958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72660.710000000006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102511.79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72660.710000000006</v>
      </c>
      <c r="G79" s="45" t="s">
        <v>289</v>
      </c>
      <c r="H79" s="41">
        <f>SUM(H63:H78)</f>
        <v>102511.79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51.99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743169.19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16740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23617.32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970.7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3737.3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722002.4</v>
      </c>
      <c r="G110" s="18">
        <v>9108.84</v>
      </c>
      <c r="H110" s="18">
        <v>33196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742479.70000000007</v>
      </c>
      <c r="G111" s="41">
        <f>SUM(G96:G110)</f>
        <v>753248.72999999986</v>
      </c>
      <c r="H111" s="41">
        <f>SUM(H96:H110)</f>
        <v>56813.32</v>
      </c>
      <c r="I111" s="41">
        <f>SUM(I96:I110)</f>
        <v>0</v>
      </c>
      <c r="J111" s="41">
        <f>SUM(J96:J110)</f>
        <v>51.99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34642098.410000004</v>
      </c>
      <c r="G112" s="41">
        <f>G60+G111</f>
        <v>753248.72999999986</v>
      </c>
      <c r="H112" s="41">
        <f>H60+H79+H94+H111</f>
        <v>159325.10999999999</v>
      </c>
      <c r="I112" s="41">
        <f>I60+I111</f>
        <v>0</v>
      </c>
      <c r="J112" s="41">
        <f>J60+J111</f>
        <v>51.99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3015227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5128390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8143617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1000823.82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306403.45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7674.2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10505.28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4799.05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1319700.52</v>
      </c>
      <c r="G136" s="41">
        <f>SUM(G123:G135)</f>
        <v>10505.28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9463317.5199999996</v>
      </c>
      <c r="G140" s="41">
        <f>G121+SUM(G136:G137)</f>
        <v>10505.28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51324.44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68597.8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146151.04999999999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517926.66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243179.07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12661.86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255840.93</v>
      </c>
      <c r="G162" s="41">
        <f>SUM(G150:G161)</f>
        <v>146151.04999999999</v>
      </c>
      <c r="H162" s="41">
        <f>SUM(H150:H161)</f>
        <v>637848.9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255840.93</v>
      </c>
      <c r="G169" s="41">
        <f>G147+G162+SUM(G163:G168)</f>
        <v>146151.04999999999</v>
      </c>
      <c r="H169" s="41">
        <f>H147+H162+SUM(H163:H168)</f>
        <v>637848.9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1101</v>
      </c>
      <c r="I179" s="18"/>
      <c r="J179" s="18">
        <f>615000+1500</f>
        <v>616500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1101</v>
      </c>
      <c r="I183" s="41">
        <f>SUM(I179:I182)</f>
        <v>0</v>
      </c>
      <c r="J183" s="41">
        <f>SUM(J179:J182)</f>
        <v>616500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0.48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0.48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0.48</v>
      </c>
      <c r="G192" s="41">
        <f>G183+SUM(G188:G191)</f>
        <v>0</v>
      </c>
      <c r="H192" s="41">
        <f>+H183+SUM(H188:H191)</f>
        <v>1101</v>
      </c>
      <c r="I192" s="41">
        <f>I177+I183+SUM(I188:I191)</f>
        <v>0</v>
      </c>
      <c r="J192" s="41">
        <f>J183</f>
        <v>616500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44361257.340000004</v>
      </c>
      <c r="G193" s="47">
        <f>G112+G140+G169+G192</f>
        <v>909905.05999999982</v>
      </c>
      <c r="H193" s="47">
        <f>H112+H140+H169+H192</f>
        <v>798275.01</v>
      </c>
      <c r="I193" s="47">
        <f>I112+I140+I169+I192</f>
        <v>0</v>
      </c>
      <c r="J193" s="47">
        <f>J112+J140+J192</f>
        <v>616551.99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7555540.63+294511.03+10503.69+2874.69</f>
        <v>7863430.040000001</v>
      </c>
      <c r="G197" s="18">
        <v>3589521.85</v>
      </c>
      <c r="H197" s="18">
        <v>19771.02</v>
      </c>
      <c r="I197" s="18">
        <v>381624.7</v>
      </c>
      <c r="J197" s="18">
        <v>44519.45</v>
      </c>
      <c r="K197" s="18">
        <v>295</v>
      </c>
      <c r="L197" s="19">
        <f>SUM(F197:K197)</f>
        <v>11899162.059999999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2909487.64+28200.25+1677.56+11884.68</f>
        <v>2951250.1300000004</v>
      </c>
      <c r="G198" s="18">
        <v>1343652.52</v>
      </c>
      <c r="H198" s="18">
        <v>847450.39</v>
      </c>
      <c r="I198" s="18">
        <v>33341.910000000003</v>
      </c>
      <c r="J198" s="18">
        <v>24670.47</v>
      </c>
      <c r="K198" s="18">
        <v>18501.93</v>
      </c>
      <c r="L198" s="19">
        <f>SUM(F198:K198)</f>
        <v>5218867.3499999996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166903.87</v>
      </c>
      <c r="G200" s="18">
        <v>102557.77</v>
      </c>
      <c r="H200" s="18">
        <v>11275</v>
      </c>
      <c r="I200" s="18">
        <v>17101.509999999998</v>
      </c>
      <c r="J200" s="18">
        <v>0</v>
      </c>
      <c r="K200" s="18">
        <v>0</v>
      </c>
      <c r="L200" s="19">
        <f>SUM(F200:K200)</f>
        <v>297838.15000000002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1473766.41+23783.38+50798.78+30022.91</f>
        <v>1578371.4799999997</v>
      </c>
      <c r="G202" s="18">
        <v>718107.37</v>
      </c>
      <c r="H202" s="18">
        <v>225544.68</v>
      </c>
      <c r="I202" s="18">
        <v>38734.43</v>
      </c>
      <c r="J202" s="18">
        <v>17509.93</v>
      </c>
      <c r="K202" s="18">
        <v>7257.85</v>
      </c>
      <c r="L202" s="19">
        <f t="shared" ref="L202:L208" si="0">SUM(F202:K202)</f>
        <v>2585525.7400000002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721232.8+418.04</f>
        <v>721650.84000000008</v>
      </c>
      <c r="G203" s="18">
        <v>369201.7</v>
      </c>
      <c r="H203" s="18">
        <v>87752.15</v>
      </c>
      <c r="I203" s="18">
        <v>87238.26</v>
      </c>
      <c r="J203" s="18">
        <v>83471.509999999995</v>
      </c>
      <c r="K203" s="18">
        <v>125247.49</v>
      </c>
      <c r="L203" s="19">
        <f t="shared" si="0"/>
        <v>1474561.95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654054.91</v>
      </c>
      <c r="G204" s="18">
        <v>307673.3</v>
      </c>
      <c r="H204" s="18">
        <v>114629.64</v>
      </c>
      <c r="I204" s="18">
        <v>16086.43</v>
      </c>
      <c r="J204" s="18">
        <v>7016.32</v>
      </c>
      <c r="K204" s="18">
        <v>33544.660000000003</v>
      </c>
      <c r="L204" s="19">
        <f t="shared" si="0"/>
        <v>1133005.2599999998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787666.54</v>
      </c>
      <c r="G205" s="18">
        <v>307673.3</v>
      </c>
      <c r="H205" s="18">
        <v>44968.32</v>
      </c>
      <c r="I205" s="18">
        <v>21446.240000000002</v>
      </c>
      <c r="J205" s="18">
        <v>56464.81</v>
      </c>
      <c r="K205" s="18">
        <v>11737.89</v>
      </c>
      <c r="L205" s="19">
        <f t="shared" si="0"/>
        <v>1229957.1000000001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235117.81</v>
      </c>
      <c r="G206" s="18">
        <v>102557.77</v>
      </c>
      <c r="H206" s="18">
        <v>72611.45</v>
      </c>
      <c r="I206" s="18">
        <v>1941.78</v>
      </c>
      <c r="J206" s="18">
        <v>0</v>
      </c>
      <c r="K206" s="18">
        <v>24.5</v>
      </c>
      <c r="L206" s="19">
        <f t="shared" si="0"/>
        <v>412253.31000000006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656447.48</v>
      </c>
      <c r="G207" s="18">
        <v>307673.3</v>
      </c>
      <c r="H207" s="18">
        <v>740230.93</v>
      </c>
      <c r="I207" s="18">
        <v>429341.93</v>
      </c>
      <c r="J207" s="18">
        <v>102828.01</v>
      </c>
      <c r="K207" s="18">
        <v>0</v>
      </c>
      <c r="L207" s="19">
        <f t="shared" si="0"/>
        <v>2236521.65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/>
      <c r="H208" s="18">
        <f>1405207.36+0.71</f>
        <v>1405208.07</v>
      </c>
      <c r="I208" s="18">
        <v>72287.05</v>
      </c>
      <c r="J208" s="18">
        <v>0</v>
      </c>
      <c r="K208" s="18">
        <v>0</v>
      </c>
      <c r="L208" s="19">
        <f t="shared" si="0"/>
        <v>1477495.12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100800</v>
      </c>
      <c r="I209" s="18"/>
      <c r="J209" s="18"/>
      <c r="K209" s="18">
        <v>4107.25</v>
      </c>
      <c r="L209" s="19">
        <f>SUM(F209:K209)</f>
        <v>104907.25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15614893.100000003</v>
      </c>
      <c r="G211" s="41">
        <f t="shared" si="1"/>
        <v>7148618.879999999</v>
      </c>
      <c r="H211" s="41">
        <f t="shared" si="1"/>
        <v>3670241.6500000004</v>
      </c>
      <c r="I211" s="41">
        <f t="shared" si="1"/>
        <v>1099144.24</v>
      </c>
      <c r="J211" s="41">
        <f t="shared" si="1"/>
        <v>336480.5</v>
      </c>
      <c r="K211" s="41">
        <f t="shared" si="1"/>
        <v>200716.57</v>
      </c>
      <c r="L211" s="41">
        <f t="shared" si="1"/>
        <v>28070094.939999998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3471594.94+3704.49+218.03</f>
        <v>3475517.46</v>
      </c>
      <c r="G233" s="18">
        <v>1640924.27</v>
      </c>
      <c r="H233" s="18">
        <v>3512.06</v>
      </c>
      <c r="I233" s="18">
        <v>196447.99</v>
      </c>
      <c r="J233" s="18">
        <v>51638.2</v>
      </c>
      <c r="K233" s="18">
        <v>5147</v>
      </c>
      <c r="L233" s="19">
        <f>SUM(F233:K233)</f>
        <v>5373186.9800000004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961663.56+297.22+778.15</f>
        <v>962738.93</v>
      </c>
      <c r="G234" s="18">
        <v>414688.88</v>
      </c>
      <c r="H234" s="18">
        <v>368897.13</v>
      </c>
      <c r="I234" s="18">
        <v>9002.17</v>
      </c>
      <c r="J234" s="18">
        <v>1628.64</v>
      </c>
      <c r="K234" s="18">
        <v>7929.4</v>
      </c>
      <c r="L234" s="19">
        <f>SUM(F234:K234)</f>
        <v>1764885.1499999997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69071.53</v>
      </c>
      <c r="I235" s="18"/>
      <c r="J235" s="18"/>
      <c r="K235" s="18"/>
      <c r="L235" s="19">
        <f>SUM(F235:K235)</f>
        <v>69071.53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315108.7</v>
      </c>
      <c r="G236" s="18">
        <v>205115.53</v>
      </c>
      <c r="H236" s="18">
        <v>71647.64</v>
      </c>
      <c r="I236" s="18">
        <v>35641.25</v>
      </c>
      <c r="J236" s="18">
        <v>28579.62</v>
      </c>
      <c r="K236" s="18">
        <v>90868.98</v>
      </c>
      <c r="L236" s="19">
        <f>SUM(F236:K236)</f>
        <v>746961.72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531537+10007.64</f>
        <v>541544.64</v>
      </c>
      <c r="G238" s="18">
        <v>307760.3</v>
      </c>
      <c r="H238" s="18">
        <v>98290</v>
      </c>
      <c r="I238" s="18">
        <v>13972.22</v>
      </c>
      <c r="J238" s="18">
        <v>5121.01</v>
      </c>
      <c r="K238" s="18">
        <v>368.35</v>
      </c>
      <c r="L238" s="19">
        <f t="shared" ref="L238:L244" si="4">SUM(F238:K238)</f>
        <v>967056.5199999999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265892.14+257.25</f>
        <v>266149.39</v>
      </c>
      <c r="G239" s="18">
        <v>128927.08</v>
      </c>
      <c r="H239" s="18">
        <v>65957.070000000007</v>
      </c>
      <c r="I239" s="18">
        <v>37168.239999999998</v>
      </c>
      <c r="J239" s="18">
        <v>300276.13</v>
      </c>
      <c r="K239" s="18">
        <v>53677.49</v>
      </c>
      <c r="L239" s="19">
        <f t="shared" si="4"/>
        <v>852155.4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280309.25</v>
      </c>
      <c r="G240" s="18">
        <v>102557.77</v>
      </c>
      <c r="H240" s="18">
        <v>49126.99</v>
      </c>
      <c r="I240" s="18">
        <v>6894.19</v>
      </c>
      <c r="J240" s="18">
        <v>3006.99</v>
      </c>
      <c r="K240" s="18">
        <v>14376.28</v>
      </c>
      <c r="L240" s="19">
        <f t="shared" si="4"/>
        <v>456271.47000000003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292373.12</v>
      </c>
      <c r="G241" s="18">
        <v>102557.77</v>
      </c>
      <c r="H241" s="18">
        <v>23090.31</v>
      </c>
      <c r="I241" s="18">
        <v>3419.21</v>
      </c>
      <c r="J241" s="18">
        <v>3065.83</v>
      </c>
      <c r="K241" s="18">
        <v>22923.72</v>
      </c>
      <c r="L241" s="19">
        <f t="shared" si="4"/>
        <v>447429.96000000008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100764.78</v>
      </c>
      <c r="G242" s="18">
        <v>102557.77</v>
      </c>
      <c r="H242" s="18">
        <v>31119.19</v>
      </c>
      <c r="I242" s="18">
        <v>832.19</v>
      </c>
      <c r="J242" s="18">
        <v>0</v>
      </c>
      <c r="K242" s="18">
        <v>10.5</v>
      </c>
      <c r="L242" s="19">
        <f t="shared" si="4"/>
        <v>235284.43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338977.04</v>
      </c>
      <c r="G243" s="18">
        <v>205115.53</v>
      </c>
      <c r="H243" s="18">
        <v>423971.78</v>
      </c>
      <c r="I243" s="18">
        <v>357909.88</v>
      </c>
      <c r="J243" s="18">
        <v>37291.1</v>
      </c>
      <c r="K243" s="18">
        <v>0</v>
      </c>
      <c r="L243" s="19">
        <f t="shared" si="4"/>
        <v>1363265.33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/>
      <c r="H244" s="18">
        <f>834150.72+0.3</f>
        <v>834151.02</v>
      </c>
      <c r="I244" s="18">
        <v>30980.17</v>
      </c>
      <c r="J244" s="18">
        <v>0</v>
      </c>
      <c r="K244" s="18">
        <v>0</v>
      </c>
      <c r="L244" s="19">
        <f t="shared" si="4"/>
        <v>865131.19000000006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43200</v>
      </c>
      <c r="I245" s="18"/>
      <c r="J245" s="18"/>
      <c r="K245" s="18">
        <v>1760.25</v>
      </c>
      <c r="L245" s="19">
        <f>SUM(F245:K245)</f>
        <v>44960.25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6573483.3099999996</v>
      </c>
      <c r="G247" s="41">
        <f t="shared" si="5"/>
        <v>3210204.8999999994</v>
      </c>
      <c r="H247" s="41">
        <f t="shared" si="5"/>
        <v>2082034.72</v>
      </c>
      <c r="I247" s="41">
        <f t="shared" si="5"/>
        <v>692267.51000000013</v>
      </c>
      <c r="J247" s="41">
        <f t="shared" si="5"/>
        <v>430607.51999999996</v>
      </c>
      <c r="K247" s="41">
        <f t="shared" si="5"/>
        <v>197061.97</v>
      </c>
      <c r="L247" s="41">
        <f t="shared" si="5"/>
        <v>13185659.930000002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294879.56</v>
      </c>
      <c r="I255" s="18"/>
      <c r="J255" s="18"/>
      <c r="K255" s="18"/>
      <c r="L255" s="19">
        <f t="shared" si="6"/>
        <v>294879.56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294879.56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294879.56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22188376.410000004</v>
      </c>
      <c r="G257" s="41">
        <f t="shared" si="8"/>
        <v>10358823.779999997</v>
      </c>
      <c r="H257" s="41">
        <f t="shared" si="8"/>
        <v>6047155.9299999997</v>
      </c>
      <c r="I257" s="41">
        <f t="shared" si="8"/>
        <v>1791411.75</v>
      </c>
      <c r="J257" s="41">
        <f t="shared" si="8"/>
        <v>767088.02</v>
      </c>
      <c r="K257" s="41">
        <f t="shared" si="8"/>
        <v>397778.54000000004</v>
      </c>
      <c r="L257" s="41">
        <f t="shared" si="8"/>
        <v>41550634.43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2935000</v>
      </c>
      <c r="L260" s="19">
        <f>SUM(F260:K260)</f>
        <v>2935000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617156.25</v>
      </c>
      <c r="L261" s="19">
        <f>SUM(F261:K261)</f>
        <v>617156.25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1101</v>
      </c>
      <c r="L264" s="19">
        <f t="shared" ref="L264:L270" si="9">SUM(F264:K264)</f>
        <v>1101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615000</v>
      </c>
      <c r="L266" s="19">
        <f t="shared" si="9"/>
        <v>615000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4168257.25</v>
      </c>
      <c r="L270" s="41">
        <f t="shared" si="9"/>
        <v>4168257.25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22188376.410000004</v>
      </c>
      <c r="G271" s="42">
        <f t="shared" si="11"/>
        <v>10358823.779999997</v>
      </c>
      <c r="H271" s="42">
        <f t="shared" si="11"/>
        <v>6047155.9299999997</v>
      </c>
      <c r="I271" s="42">
        <f t="shared" si="11"/>
        <v>1791411.75</v>
      </c>
      <c r="J271" s="42">
        <f t="shared" si="11"/>
        <v>767088.02</v>
      </c>
      <c r="K271" s="42">
        <f t="shared" si="11"/>
        <v>4566035.79</v>
      </c>
      <c r="L271" s="42">
        <f t="shared" si="11"/>
        <v>45718891.68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47644.9</v>
      </c>
      <c r="G276" s="18">
        <v>3643.54</v>
      </c>
      <c r="H276" s="18">
        <v>36</v>
      </c>
      <c r="I276" s="18">
        <f>349.27+586.22+20+540+939.16+247.69+240</f>
        <v>2922.34</v>
      </c>
      <c r="J276" s="18">
        <f>946+2999.85+2582.67+1858.89</f>
        <v>8387.41</v>
      </c>
      <c r="K276" s="18"/>
      <c r="L276" s="19">
        <f>SUM(F276:K276)</f>
        <v>62634.19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262415.09999999998</v>
      </c>
      <c r="G277" s="18">
        <v>128648.51</v>
      </c>
      <c r="H277" s="18">
        <v>7013.4</v>
      </c>
      <c r="I277" s="18">
        <v>217.64</v>
      </c>
      <c r="J277" s="18">
        <v>0</v>
      </c>
      <c r="K277" s="18"/>
      <c r="L277" s="19">
        <f>SUM(F277:K277)</f>
        <v>398294.65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79325</v>
      </c>
      <c r="G279" s="18">
        <v>9877.18</v>
      </c>
      <c r="H279" s="18"/>
      <c r="I279" s="18">
        <v>4243.8500000000004</v>
      </c>
      <c r="J279" s="18"/>
      <c r="K279" s="18"/>
      <c r="L279" s="19">
        <f>SUM(F279:K279)</f>
        <v>93446.03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23566.69</v>
      </c>
      <c r="G281" s="18">
        <v>5793.81</v>
      </c>
      <c r="H281" s="18">
        <v>812.5</v>
      </c>
      <c r="I281" s="18">
        <f>4229.95+106.22+125</f>
        <v>4461.17</v>
      </c>
      <c r="J281" s="18"/>
      <c r="K281" s="18"/>
      <c r="L281" s="19">
        <f t="shared" ref="L281:L287" si="12">SUM(F281:K281)</f>
        <v>34634.17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2800</v>
      </c>
      <c r="G282" s="18">
        <v>407.87</v>
      </c>
      <c r="H282" s="18">
        <v>41079.56</v>
      </c>
      <c r="I282" s="18">
        <v>8359.51</v>
      </c>
      <c r="J282" s="18"/>
      <c r="K282" s="18"/>
      <c r="L282" s="19">
        <f t="shared" si="12"/>
        <v>52646.94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>
        <v>0</v>
      </c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>
        <v>0</v>
      </c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415751.69</v>
      </c>
      <c r="G290" s="42">
        <f t="shared" si="13"/>
        <v>148370.90999999997</v>
      </c>
      <c r="H290" s="42">
        <f t="shared" si="13"/>
        <v>48941.46</v>
      </c>
      <c r="I290" s="42">
        <f t="shared" si="13"/>
        <v>20204.510000000002</v>
      </c>
      <c r="J290" s="42">
        <f t="shared" si="13"/>
        <v>8387.41</v>
      </c>
      <c r="K290" s="42">
        <f t="shared" si="13"/>
        <v>0</v>
      </c>
      <c r="L290" s="41">
        <f t="shared" si="13"/>
        <v>641655.98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7583.88</v>
      </c>
      <c r="G314" s="18">
        <v>1754.59</v>
      </c>
      <c r="H314" s="18"/>
      <c r="I314" s="18">
        <v>6149.69</v>
      </c>
      <c r="J314" s="18">
        <f>3188</f>
        <v>3188</v>
      </c>
      <c r="K314" s="18"/>
      <c r="L314" s="19">
        <f>SUM(F314:K314)</f>
        <v>18676.16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17611.82</v>
      </c>
      <c r="G315" s="18">
        <v>3844.74</v>
      </c>
      <c r="H315" s="18">
        <f>1353.6+34715</f>
        <v>36068.6</v>
      </c>
      <c r="I315" s="18">
        <v>82.99</v>
      </c>
      <c r="J315" s="18"/>
      <c r="K315" s="18"/>
      <c r="L315" s="19">
        <f>SUM(F315:K315)</f>
        <v>57608.149999999994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9800</v>
      </c>
      <c r="G317" s="18">
        <v>749.72</v>
      </c>
      <c r="H317" s="18">
        <v>1036.05</v>
      </c>
      <c r="I317" s="18">
        <f>297.83+2953.37</f>
        <v>3251.2</v>
      </c>
      <c r="J317" s="18"/>
      <c r="K317" s="18"/>
      <c r="L317" s="19">
        <f>SUM(F317:K317)</f>
        <v>14836.969999999998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10100.01</v>
      </c>
      <c r="G319" s="18">
        <v>2483.06</v>
      </c>
      <c r="H319" s="18">
        <v>95</v>
      </c>
      <c r="I319" s="18">
        <v>849.73</v>
      </c>
      <c r="J319" s="18"/>
      <c r="K319" s="18"/>
      <c r="L319" s="19">
        <f t="shared" ref="L319:L325" si="16">SUM(F319:K319)</f>
        <v>13527.8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1200</v>
      </c>
      <c r="G320" s="18">
        <v>174.8</v>
      </c>
      <c r="H320" s="18">
        <v>10457.540000000001</v>
      </c>
      <c r="I320" s="18">
        <v>40434.660000000003</v>
      </c>
      <c r="J320" s="18"/>
      <c r="K320" s="18"/>
      <c r="L320" s="19">
        <f t="shared" si="16"/>
        <v>52267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1807.49</v>
      </c>
      <c r="I324" s="18"/>
      <c r="J324" s="18"/>
      <c r="K324" s="18"/>
      <c r="L324" s="19">
        <f t="shared" si="16"/>
        <v>1807.49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46295.71</v>
      </c>
      <c r="G328" s="42">
        <f t="shared" si="17"/>
        <v>9006.91</v>
      </c>
      <c r="H328" s="42">
        <f t="shared" si="17"/>
        <v>49464.68</v>
      </c>
      <c r="I328" s="42">
        <f t="shared" si="17"/>
        <v>50768.270000000004</v>
      </c>
      <c r="J328" s="42">
        <f t="shared" si="17"/>
        <v>3188</v>
      </c>
      <c r="K328" s="42">
        <f t="shared" si="17"/>
        <v>0</v>
      </c>
      <c r="L328" s="41">
        <f t="shared" si="17"/>
        <v>158723.57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/>
      <c r="I333" s="18">
        <v>0</v>
      </c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462047.4</v>
      </c>
      <c r="G338" s="41">
        <f t="shared" si="20"/>
        <v>157377.81999999998</v>
      </c>
      <c r="H338" s="41">
        <f t="shared" si="20"/>
        <v>98406.14</v>
      </c>
      <c r="I338" s="41">
        <f t="shared" si="20"/>
        <v>70972.78</v>
      </c>
      <c r="J338" s="41">
        <f t="shared" si="20"/>
        <v>11575.41</v>
      </c>
      <c r="K338" s="41">
        <f t="shared" si="20"/>
        <v>0</v>
      </c>
      <c r="L338" s="41">
        <f t="shared" si="20"/>
        <v>800379.55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1500</v>
      </c>
      <c r="L347" s="19">
        <f t="shared" si="21"/>
        <v>1500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1500</v>
      </c>
      <c r="L351" s="41">
        <f>SUM(L341:L350)</f>
        <v>1500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462047.4</v>
      </c>
      <c r="G352" s="41">
        <f>G338</f>
        <v>157377.81999999998</v>
      </c>
      <c r="H352" s="41">
        <f>H338</f>
        <v>98406.14</v>
      </c>
      <c r="I352" s="41">
        <f>I338</f>
        <v>70972.78</v>
      </c>
      <c r="J352" s="41">
        <f>J338</f>
        <v>11575.41</v>
      </c>
      <c r="K352" s="47">
        <f>K338+K351</f>
        <v>1500</v>
      </c>
      <c r="L352" s="41">
        <f>L338+L351</f>
        <v>801879.55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210151.55</v>
      </c>
      <c r="G358" s="18">
        <v>54990.92</v>
      </c>
      <c r="H358" s="18">
        <v>6221.74</v>
      </c>
      <c r="I358" s="18">
        <v>272058.14</v>
      </c>
      <c r="J358" s="18">
        <f>1073.32+9674+315.22+261.17+4610+102.24+191.52+7495</f>
        <v>23722.47</v>
      </c>
      <c r="K358" s="18">
        <v>1012.52</v>
      </c>
      <c r="L358" s="13">
        <f>SUM(F358:K358)</f>
        <v>568157.34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127763.54</v>
      </c>
      <c r="G360" s="18">
        <v>23567.54</v>
      </c>
      <c r="H360" s="18">
        <v>5533.43</v>
      </c>
      <c r="I360" s="18">
        <v>184266.95</v>
      </c>
      <c r="J360" s="18">
        <f>460+23685+3180+137.92+106.04+452.4+7495</f>
        <v>35516.36</v>
      </c>
      <c r="K360" s="18">
        <v>433.94</v>
      </c>
      <c r="L360" s="19">
        <f>SUM(F360:K360)</f>
        <v>377081.75999999995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337915.08999999997</v>
      </c>
      <c r="G362" s="47">
        <f t="shared" si="22"/>
        <v>78558.459999999992</v>
      </c>
      <c r="H362" s="47">
        <f t="shared" si="22"/>
        <v>11755.17</v>
      </c>
      <c r="I362" s="47">
        <f t="shared" si="22"/>
        <v>456325.09</v>
      </c>
      <c r="J362" s="47">
        <f t="shared" si="22"/>
        <v>59238.83</v>
      </c>
      <c r="K362" s="47">
        <f t="shared" si="22"/>
        <v>1446.46</v>
      </c>
      <c r="L362" s="47">
        <f t="shared" si="22"/>
        <v>945239.09999999986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255069.12</v>
      </c>
      <c r="G367" s="18"/>
      <c r="H367" s="18">
        <v>173894.35</v>
      </c>
      <c r="I367" s="56">
        <f>SUM(F367:H367)</f>
        <v>428963.47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16989.02</v>
      </c>
      <c r="G368" s="63"/>
      <c r="H368" s="63">
        <v>10372.6</v>
      </c>
      <c r="I368" s="56">
        <f>SUM(F368:H368)</f>
        <v>27361.620000000003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272058.14</v>
      </c>
      <c r="G369" s="47">
        <f>SUM(G367:G368)</f>
        <v>0</v>
      </c>
      <c r="H369" s="47">
        <f>SUM(H367:H368)</f>
        <v>184266.95</v>
      </c>
      <c r="I369" s="47">
        <f>SUM(I367:I368)</f>
        <v>456325.08999999997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>
        <v>0</v>
      </c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7.08</v>
      </c>
      <c r="I392" s="18"/>
      <c r="J392" s="24" t="s">
        <v>289</v>
      </c>
      <c r="K392" s="24" t="s">
        <v>289</v>
      </c>
      <c r="L392" s="56">
        <f t="shared" si="25"/>
        <v>7.08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7.08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7.08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615000</v>
      </c>
      <c r="H396" s="18">
        <v>44.91</v>
      </c>
      <c r="I396" s="18"/>
      <c r="J396" s="24" t="s">
        <v>289</v>
      </c>
      <c r="K396" s="24" t="s">
        <v>289</v>
      </c>
      <c r="L396" s="56">
        <f t="shared" si="26"/>
        <v>615044.91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</v>
      </c>
      <c r="H400" s="18"/>
      <c r="I400" s="18"/>
      <c r="J400" s="24" t="s">
        <v>289</v>
      </c>
      <c r="K400" s="24" t="s">
        <v>289</v>
      </c>
      <c r="L400" s="56">
        <f t="shared" si="26"/>
        <v>1500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616500</v>
      </c>
      <c r="H401" s="47">
        <f>SUM(H395:H400)</f>
        <v>44.91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616544.91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616500</v>
      </c>
      <c r="H408" s="47">
        <f>H393+H401+H407</f>
        <v>51.989999999999995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616551.99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71034.009999999995</v>
      </c>
      <c r="G439" s="18">
        <f>633635.9+1500</f>
        <v>635135.9</v>
      </c>
      <c r="H439" s="18"/>
      <c r="I439" s="56">
        <f t="shared" ref="I439:I445" si="33">SUM(F439:H439)</f>
        <v>706169.91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71034.009999999995</v>
      </c>
      <c r="G446" s="13">
        <f>SUM(G439:G445)</f>
        <v>635135.9</v>
      </c>
      <c r="H446" s="13">
        <f>SUM(H439:H445)</f>
        <v>0</v>
      </c>
      <c r="I446" s="13">
        <f>SUM(I439:I445)</f>
        <v>706169.91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71034.009999999995</v>
      </c>
      <c r="G459" s="18">
        <f>633635.9+1500</f>
        <v>635135.9</v>
      </c>
      <c r="H459" s="18"/>
      <c r="I459" s="56">
        <f t="shared" si="34"/>
        <v>706169.91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71034.009999999995</v>
      </c>
      <c r="G460" s="83">
        <f>SUM(G454:G459)</f>
        <v>635135.9</v>
      </c>
      <c r="H460" s="83">
        <f>SUM(H454:H459)</f>
        <v>0</v>
      </c>
      <c r="I460" s="83">
        <f>SUM(I454:I459)</f>
        <v>706169.91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71034.009999999995</v>
      </c>
      <c r="G461" s="42">
        <f>G452+G460</f>
        <v>635135.9</v>
      </c>
      <c r="H461" s="42">
        <f>H452+H460</f>
        <v>0</v>
      </c>
      <c r="I461" s="42">
        <f>I452+I460</f>
        <v>706169.91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3325206.59</v>
      </c>
      <c r="G465" s="18">
        <v>231858.01</v>
      </c>
      <c r="H465" s="18">
        <v>113044.02</v>
      </c>
      <c r="I465" s="18"/>
      <c r="J465" s="18">
        <v>89617.919999999998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44361257.340000004</v>
      </c>
      <c r="G468" s="18">
        <v>909905.06</v>
      </c>
      <c r="H468" s="18">
        <v>798275.01</v>
      </c>
      <c r="I468" s="18"/>
      <c r="J468" s="18">
        <f>615051.99+1500</f>
        <v>616551.99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44361257.340000004</v>
      </c>
      <c r="G470" s="53">
        <f>SUM(G468:G469)</f>
        <v>909905.06</v>
      </c>
      <c r="H470" s="53">
        <f>SUM(H468:H469)</f>
        <v>798275.01</v>
      </c>
      <c r="I470" s="53">
        <f>SUM(I468:I469)</f>
        <v>0</v>
      </c>
      <c r="J470" s="53">
        <f>SUM(J468:J469)</f>
        <v>616551.99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45718891.68</v>
      </c>
      <c r="G472" s="18">
        <v>945239.1</v>
      </c>
      <c r="H472" s="18">
        <v>801879.55</v>
      </c>
      <c r="I472" s="18"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45718891.68</v>
      </c>
      <c r="G474" s="53">
        <f>SUM(G472:G473)</f>
        <v>945239.1</v>
      </c>
      <c r="H474" s="53">
        <f>SUM(H472:H473)</f>
        <v>801879.55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1967572.2500000075</v>
      </c>
      <c r="G476" s="53">
        <f>(G465+G470)- G474</f>
        <v>196523.97000000009</v>
      </c>
      <c r="H476" s="53">
        <f>(H465+H470)- H474</f>
        <v>109439.47999999998</v>
      </c>
      <c r="I476" s="53">
        <f>(I465+I470)- I474</f>
        <v>0</v>
      </c>
      <c r="J476" s="53">
        <f>(J465+J470)- J474</f>
        <v>706169.91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11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918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913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19305000</v>
      </c>
      <c r="G493" s="18">
        <v>4000000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</v>
      </c>
      <c r="G494" s="18">
        <v>3.69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19305000</v>
      </c>
      <c r="G495" s="18">
        <v>1490000</v>
      </c>
      <c r="H495" s="18"/>
      <c r="I495" s="18"/>
      <c r="J495" s="18"/>
      <c r="K495" s="53">
        <f>SUM(F495:J495)</f>
        <v>20795000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2560000</v>
      </c>
      <c r="G497" s="18">
        <v>375000</v>
      </c>
      <c r="H497" s="18"/>
      <c r="I497" s="18"/>
      <c r="J497" s="18"/>
      <c r="K497" s="53">
        <f t="shared" si="35"/>
        <v>2935000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16745000</v>
      </c>
      <c r="G498" s="204">
        <v>1115000</v>
      </c>
      <c r="H498" s="204"/>
      <c r="I498" s="204"/>
      <c r="J498" s="204"/>
      <c r="K498" s="205">
        <f t="shared" si="35"/>
        <v>17860000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3054262.5</v>
      </c>
      <c r="G499" s="18">
        <v>87543.75</v>
      </c>
      <c r="H499" s="18"/>
      <c r="I499" s="18"/>
      <c r="J499" s="18"/>
      <c r="K499" s="53">
        <f t="shared" si="35"/>
        <v>3141806.25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19799262.5</v>
      </c>
      <c r="G500" s="42">
        <f>SUM(G498:G499)</f>
        <v>1202543.75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21001806.25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1700000</v>
      </c>
      <c r="G501" s="204">
        <v>375000</v>
      </c>
      <c r="H501" s="204"/>
      <c r="I501" s="204"/>
      <c r="J501" s="204"/>
      <c r="K501" s="205">
        <f t="shared" si="35"/>
        <v>2075000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261587.5+244587.5</f>
        <v>506175</v>
      </c>
      <c r="G502" s="18">
        <v>48693.75</v>
      </c>
      <c r="H502" s="18"/>
      <c r="I502" s="18"/>
      <c r="J502" s="18"/>
      <c r="K502" s="53">
        <f t="shared" si="35"/>
        <v>554868.75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2206175</v>
      </c>
      <c r="G503" s="42">
        <f>SUM(G501:G502)</f>
        <v>423693.75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2629868.75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3092564.98-72380-76490.15-68443.78-24410.25</f>
        <v>2850840.8000000003</v>
      </c>
      <c r="G521" s="18">
        <f>1425373.96-153.99</f>
        <v>1425219.97</v>
      </c>
      <c r="H521" s="18">
        <f>854233.26-314.82-1469.88</f>
        <v>852448.56</v>
      </c>
      <c r="I521" s="18">
        <v>37541.910000000003</v>
      </c>
      <c r="J521" s="18">
        <v>24670.47</v>
      </c>
      <c r="K521" s="18">
        <v>18501.93</v>
      </c>
      <c r="L521" s="88">
        <f>SUM(F521:K521)</f>
        <v>5209223.6399999997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945286.34-83517-23158.27</f>
        <v>838611.07</v>
      </c>
      <c r="G523" s="18">
        <f>404094.52-65.99</f>
        <v>404028.53</v>
      </c>
      <c r="H523" s="18">
        <f>404866.92-629.95</f>
        <v>404236.97</v>
      </c>
      <c r="I523" s="18">
        <v>10802.17</v>
      </c>
      <c r="J523" s="18">
        <v>1628.64</v>
      </c>
      <c r="K523" s="18">
        <v>7929.4</v>
      </c>
      <c r="L523" s="88">
        <f>SUM(F523:K523)</f>
        <v>1667236.7799999998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3689451.87</v>
      </c>
      <c r="G524" s="108">
        <f t="shared" ref="G524:L524" si="36">SUM(G521:G523)</f>
        <v>1829248.5</v>
      </c>
      <c r="H524" s="108">
        <f t="shared" si="36"/>
        <v>1256685.53</v>
      </c>
      <c r="I524" s="108">
        <f t="shared" si="36"/>
        <v>48344.08</v>
      </c>
      <c r="J524" s="108">
        <f t="shared" si="36"/>
        <v>26299.11</v>
      </c>
      <c r="K524" s="108">
        <f t="shared" si="36"/>
        <v>26431.33</v>
      </c>
      <c r="L524" s="89">
        <f t="shared" si="36"/>
        <v>6876460.4199999999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869454.26</v>
      </c>
      <c r="G526" s="18">
        <v>401788.78</v>
      </c>
      <c r="H526" s="18">
        <v>225544.68</v>
      </c>
      <c r="I526" s="18">
        <v>15868.79</v>
      </c>
      <c r="J526" s="18">
        <v>16452.25</v>
      </c>
      <c r="K526" s="18">
        <v>255.15</v>
      </c>
      <c r="L526" s="88">
        <f>SUM(F526:K526)</f>
        <v>1529363.91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120469.22</v>
      </c>
      <c r="G528" s="18">
        <v>101518.05</v>
      </c>
      <c r="H528" s="18">
        <v>96662</v>
      </c>
      <c r="I528" s="18">
        <v>5712.15</v>
      </c>
      <c r="J528" s="18">
        <v>1746.24</v>
      </c>
      <c r="K528" s="18">
        <v>109.35</v>
      </c>
      <c r="L528" s="88">
        <f>SUM(F528:K528)</f>
        <v>326217.01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989923.48</v>
      </c>
      <c r="G529" s="89">
        <f t="shared" ref="G529:L529" si="37">SUM(G526:G528)</f>
        <v>503306.83</v>
      </c>
      <c r="H529" s="89">
        <f t="shared" si="37"/>
        <v>322206.68</v>
      </c>
      <c r="I529" s="89">
        <f t="shared" si="37"/>
        <v>21580.940000000002</v>
      </c>
      <c r="J529" s="89">
        <f t="shared" si="37"/>
        <v>18198.490000000002</v>
      </c>
      <c r="K529" s="89">
        <f t="shared" si="37"/>
        <v>364.5</v>
      </c>
      <c r="L529" s="89">
        <f t="shared" si="37"/>
        <v>1855580.92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80434.16+72380+76490.15+68443.78+24410.25</f>
        <v>322158.33999999997</v>
      </c>
      <c r="G531" s="18">
        <f>3240+1590+39320.16+44593.74+21241.93+35175.45+2137.05+8093.61+17342.12</f>
        <v>172734.05999999994</v>
      </c>
      <c r="H531" s="18">
        <f>844.05+314.82+544.55+554.04</f>
        <v>2257.46</v>
      </c>
      <c r="I531" s="18">
        <v>90.3</v>
      </c>
      <c r="J531" s="18"/>
      <c r="K531" s="18">
        <v>689.44</v>
      </c>
      <c r="L531" s="88">
        <f>SUM(F531:K531)</f>
        <v>497929.59999999992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34471.78+83517+23158.27</f>
        <v>141147.04999999999</v>
      </c>
      <c r="G533" s="18">
        <f>219.99+7432.34+915.88+3468.69+21518.5+44538.96</f>
        <v>78094.36</v>
      </c>
      <c r="H533" s="18">
        <f>361.74+1001.24</f>
        <v>1362.98</v>
      </c>
      <c r="I533" s="18">
        <v>38.700000000000003</v>
      </c>
      <c r="J533" s="18"/>
      <c r="K533" s="18">
        <v>295.47000000000003</v>
      </c>
      <c r="L533" s="88">
        <f>SUM(F533:K533)</f>
        <v>220938.56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463305.38999999996</v>
      </c>
      <c r="G534" s="89">
        <f t="shared" ref="G534:L534" si="38">SUM(G531:G533)</f>
        <v>250828.41999999993</v>
      </c>
      <c r="H534" s="89">
        <f t="shared" si="38"/>
        <v>3620.44</v>
      </c>
      <c r="I534" s="89">
        <f t="shared" si="38"/>
        <v>129</v>
      </c>
      <c r="J534" s="89">
        <f t="shared" si="38"/>
        <v>0</v>
      </c>
      <c r="K534" s="89">
        <f t="shared" si="38"/>
        <v>984.91000000000008</v>
      </c>
      <c r="L534" s="89">
        <f t="shared" si="38"/>
        <v>718868.15999999992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388994.73</v>
      </c>
      <c r="I541" s="18"/>
      <c r="J541" s="18"/>
      <c r="K541" s="18"/>
      <c r="L541" s="88">
        <f>SUM(F541:K541)</f>
        <v>388994.73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166712.03</v>
      </c>
      <c r="I543" s="18"/>
      <c r="J543" s="18"/>
      <c r="K543" s="18"/>
      <c r="L543" s="88">
        <f>SUM(F543:K543)</f>
        <v>166712.03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555706.76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555706.76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5142680.7399999993</v>
      </c>
      <c r="G545" s="89">
        <f t="shared" ref="G545:L545" si="41">G524+G529+G534+G539+G544</f>
        <v>2583383.75</v>
      </c>
      <c r="H545" s="89">
        <f t="shared" si="41"/>
        <v>2138219.41</v>
      </c>
      <c r="I545" s="89">
        <f t="shared" si="41"/>
        <v>70054.02</v>
      </c>
      <c r="J545" s="89">
        <f t="shared" si="41"/>
        <v>44497.600000000006</v>
      </c>
      <c r="K545" s="89">
        <f t="shared" si="41"/>
        <v>27780.74</v>
      </c>
      <c r="L545" s="89">
        <f t="shared" si="41"/>
        <v>10006616.26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5209223.6399999997</v>
      </c>
      <c r="G549" s="87">
        <f>L526</f>
        <v>1529363.91</v>
      </c>
      <c r="H549" s="87">
        <f>L531</f>
        <v>497929.59999999992</v>
      </c>
      <c r="I549" s="87">
        <f>L536</f>
        <v>0</v>
      </c>
      <c r="J549" s="87">
        <f>L541</f>
        <v>388994.73</v>
      </c>
      <c r="K549" s="87">
        <f>SUM(F549:J549)</f>
        <v>7625511.879999999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1667236.7799999998</v>
      </c>
      <c r="G551" s="87">
        <f>L528</f>
        <v>326217.01</v>
      </c>
      <c r="H551" s="87">
        <f>L533</f>
        <v>220938.56</v>
      </c>
      <c r="I551" s="87">
        <f>L538</f>
        <v>0</v>
      </c>
      <c r="J551" s="87">
        <f>L543</f>
        <v>166712.03</v>
      </c>
      <c r="K551" s="87">
        <f>SUM(F551:J551)</f>
        <v>2381104.3799999994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6876460.4199999999</v>
      </c>
      <c r="G552" s="89">
        <f t="shared" si="42"/>
        <v>1855580.92</v>
      </c>
      <c r="H552" s="89">
        <f t="shared" si="42"/>
        <v>718868.15999999992</v>
      </c>
      <c r="I552" s="89">
        <f t="shared" si="42"/>
        <v>0</v>
      </c>
      <c r="J552" s="89">
        <f t="shared" si="42"/>
        <v>555706.76</v>
      </c>
      <c r="K552" s="89">
        <f t="shared" si="42"/>
        <v>10006616.259999998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79328.759999999995</v>
      </c>
      <c r="G562" s="18">
        <v>15033.3</v>
      </c>
      <c r="H562" s="18">
        <v>1429.97</v>
      </c>
      <c r="I562" s="18">
        <v>542.91999999999996</v>
      </c>
      <c r="J562" s="18"/>
      <c r="K562" s="18"/>
      <c r="L562" s="88">
        <f>SUM(F562:K562)</f>
        <v>96334.95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33998.04</v>
      </c>
      <c r="G564" s="18">
        <v>6442.85</v>
      </c>
      <c r="H564" s="18">
        <v>612.84</v>
      </c>
      <c r="I564" s="18">
        <v>232.68</v>
      </c>
      <c r="J564" s="18"/>
      <c r="K564" s="18"/>
      <c r="L564" s="88">
        <f>SUM(F564:K564)</f>
        <v>41286.409999999996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113326.79999999999</v>
      </c>
      <c r="G565" s="89">
        <f t="shared" si="44"/>
        <v>21476.15</v>
      </c>
      <c r="H565" s="89">
        <f t="shared" si="44"/>
        <v>2042.81</v>
      </c>
      <c r="I565" s="89">
        <f t="shared" si="44"/>
        <v>775.59999999999991</v>
      </c>
      <c r="J565" s="89">
        <f t="shared" si="44"/>
        <v>0</v>
      </c>
      <c r="K565" s="89">
        <f t="shared" si="44"/>
        <v>0</v>
      </c>
      <c r="L565" s="89">
        <f t="shared" si="44"/>
        <v>137621.35999999999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113326.79999999999</v>
      </c>
      <c r="G571" s="89">
        <f t="shared" ref="G571:L571" si="46">G560+G565+G570</f>
        <v>21476.15</v>
      </c>
      <c r="H571" s="89">
        <f t="shared" si="46"/>
        <v>2042.81</v>
      </c>
      <c r="I571" s="89">
        <f t="shared" si="46"/>
        <v>775.59999999999991</v>
      </c>
      <c r="J571" s="89">
        <f t="shared" si="46"/>
        <v>0</v>
      </c>
      <c r="K571" s="89">
        <f t="shared" si="46"/>
        <v>0</v>
      </c>
      <c r="L571" s="89">
        <f t="shared" si="46"/>
        <v>137621.35999999999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4172</v>
      </c>
      <c r="I579" s="87">
        <f t="shared" si="47"/>
        <v>4172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351939.36+19351.88</f>
        <v>371291.24</v>
      </c>
      <c r="G582" s="18"/>
      <c r="H582" s="18">
        <f>34715+537171.8+6590</f>
        <v>578476.80000000005</v>
      </c>
      <c r="I582" s="87">
        <f t="shared" si="47"/>
        <v>949768.04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134685.68</v>
      </c>
      <c r="I583" s="87">
        <f t="shared" si="47"/>
        <v>134685.68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69071.53</v>
      </c>
      <c r="I584" s="87">
        <f t="shared" si="47"/>
        <v>69071.53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1037922.79</v>
      </c>
      <c r="I591" s="18"/>
      <c r="J591" s="18">
        <v>444824.05</v>
      </c>
      <c r="K591" s="104">
        <f t="shared" ref="K591:K597" si="48">SUM(H591:J591)</f>
        <v>1482746.84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388994.73</v>
      </c>
      <c r="I592" s="18"/>
      <c r="J592" s="18">
        <v>166712.03</v>
      </c>
      <c r="K592" s="104">
        <f t="shared" si="48"/>
        <v>555706.76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127853.37</v>
      </c>
      <c r="K593" s="104">
        <f t="shared" si="48"/>
        <v>127853.37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21991.57</v>
      </c>
      <c r="I594" s="18"/>
      <c r="J594" s="18">
        <v>109489.42</v>
      </c>
      <c r="K594" s="104">
        <f t="shared" si="48"/>
        <v>131480.99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9481.34+117.52</f>
        <v>9598.86</v>
      </c>
      <c r="I595" s="18"/>
      <c r="J595" s="18">
        <f>8232.48-117.52</f>
        <v>8114.9599999999991</v>
      </c>
      <c r="K595" s="104">
        <f t="shared" si="48"/>
        <v>17713.82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18987.169999999998</v>
      </c>
      <c r="I597" s="18"/>
      <c r="J597" s="18">
        <v>8137.36</v>
      </c>
      <c r="K597" s="104">
        <f t="shared" si="48"/>
        <v>27124.53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1477495.12</v>
      </c>
      <c r="I598" s="108">
        <f>SUM(I591:I597)</f>
        <v>0</v>
      </c>
      <c r="J598" s="108">
        <f>SUM(J591:J597)</f>
        <v>865131.19</v>
      </c>
      <c r="K598" s="108">
        <f>SUM(K591:K597)</f>
        <v>2342626.3099999996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329464.19+7016.32+2999.85+946+2582.67+1858.88</f>
        <v>344867.91</v>
      </c>
      <c r="I604" s="18"/>
      <c r="J604" s="18">
        <f>427600.53+3006.99+3188</f>
        <v>433795.52</v>
      </c>
      <c r="K604" s="104">
        <f>SUM(H604:J604)</f>
        <v>778663.42999999993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344867.91</v>
      </c>
      <c r="I605" s="108">
        <f>SUM(I602:I604)</f>
        <v>0</v>
      </c>
      <c r="J605" s="108">
        <f>SUM(J602:J604)</f>
        <v>433795.52</v>
      </c>
      <c r="K605" s="108">
        <f>SUM(K602:K604)</f>
        <v>778663.42999999993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93904.97</v>
      </c>
      <c r="G611" s="18">
        <v>15915.44</v>
      </c>
      <c r="H611" s="18">
        <v>27386.16</v>
      </c>
      <c r="I611" s="18">
        <v>125.78</v>
      </c>
      <c r="J611" s="18"/>
      <c r="K611" s="18"/>
      <c r="L611" s="88">
        <f>SUM(F611:K611)</f>
        <v>137332.35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40244.99</v>
      </c>
      <c r="G613" s="18">
        <v>6820.99</v>
      </c>
      <c r="H613" s="18">
        <v>11736.92</v>
      </c>
      <c r="I613" s="18">
        <v>53.9</v>
      </c>
      <c r="J613" s="18"/>
      <c r="K613" s="18"/>
      <c r="L613" s="88">
        <f>SUM(F613:K613)</f>
        <v>58856.799999999996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134149.96</v>
      </c>
      <c r="G614" s="108">
        <f t="shared" si="49"/>
        <v>22736.43</v>
      </c>
      <c r="H614" s="108">
        <f t="shared" si="49"/>
        <v>39123.08</v>
      </c>
      <c r="I614" s="108">
        <f t="shared" si="49"/>
        <v>179.68</v>
      </c>
      <c r="J614" s="108">
        <f t="shared" si="49"/>
        <v>0</v>
      </c>
      <c r="K614" s="108">
        <f t="shared" si="49"/>
        <v>0</v>
      </c>
      <c r="L614" s="89">
        <f t="shared" si="49"/>
        <v>196189.15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2392352.25</v>
      </c>
      <c r="H617" s="109">
        <f>SUM(F52)</f>
        <v>2392352.25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232477.21999999997</v>
      </c>
      <c r="H618" s="109">
        <f>SUM(G52)</f>
        <v>232477.22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200569.40000000002</v>
      </c>
      <c r="H619" s="109">
        <f>SUM(H52)</f>
        <v>200569.4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706169.91</v>
      </c>
      <c r="H621" s="109">
        <f>SUM(J52)</f>
        <v>706169.91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1967572.25</v>
      </c>
      <c r="H622" s="109">
        <f>F476</f>
        <v>1967572.2500000075</v>
      </c>
      <c r="I622" s="121" t="s">
        <v>101</v>
      </c>
      <c r="J622" s="109">
        <f t="shared" ref="J622:J655" si="50">G622-H622</f>
        <v>-7.4505805969238281E-9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196523.97</v>
      </c>
      <c r="H623" s="109">
        <f>G476</f>
        <v>196523.97000000009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109439.48</v>
      </c>
      <c r="H624" s="109">
        <f>H476</f>
        <v>109439.47999999998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706169.91</v>
      </c>
      <c r="H626" s="109">
        <f>J476</f>
        <v>706169.91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44361257.340000004</v>
      </c>
      <c r="H627" s="104">
        <f>SUM(F468)</f>
        <v>44361257.340000004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909905.05999999982</v>
      </c>
      <c r="H628" s="104">
        <f>SUM(G468)</f>
        <v>909905.06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798275.01</v>
      </c>
      <c r="H629" s="104">
        <f>SUM(H468)</f>
        <v>798275.01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616551.99</v>
      </c>
      <c r="H631" s="104">
        <f>SUM(J468)</f>
        <v>616551.99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45718891.68</v>
      </c>
      <c r="H632" s="104">
        <f>SUM(F472)</f>
        <v>45718891.68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801879.55</v>
      </c>
      <c r="H633" s="104">
        <f>SUM(H472)</f>
        <v>801879.55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456325.09</v>
      </c>
      <c r="H634" s="104">
        <f>I369</f>
        <v>456325.08999999997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945239.09999999986</v>
      </c>
      <c r="H635" s="104">
        <f>SUM(G472)</f>
        <v>945239.1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616551.99</v>
      </c>
      <c r="H637" s="164">
        <f>SUM(J468)</f>
        <v>616551.99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71034.009999999995</v>
      </c>
      <c r="H639" s="104">
        <f>SUM(F461)</f>
        <v>71034.009999999995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635135.9</v>
      </c>
      <c r="H640" s="104">
        <f>SUM(G461)</f>
        <v>635135.9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706169.91</v>
      </c>
      <c r="H642" s="104">
        <f>SUM(I461)</f>
        <v>706169.91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51.99</v>
      </c>
      <c r="H644" s="104">
        <f>H408</f>
        <v>51.989999999999995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616500</v>
      </c>
      <c r="H645" s="104">
        <f>G408</f>
        <v>616500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616551.99</v>
      </c>
      <c r="H646" s="104">
        <f>L408</f>
        <v>616551.99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2342626.3099999996</v>
      </c>
      <c r="H647" s="104">
        <f>L208+L226+L244</f>
        <v>2342626.31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778663.42999999993</v>
      </c>
      <c r="H648" s="104">
        <f>(J257+J338)-(J255+J336)</f>
        <v>778663.43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1477495.12</v>
      </c>
      <c r="H649" s="104">
        <f>H598</f>
        <v>1477495.12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865131.19000000006</v>
      </c>
      <c r="H651" s="104">
        <f>J598</f>
        <v>865131.19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1101</v>
      </c>
      <c r="H653" s="104">
        <f>K264</f>
        <v>1101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616500</v>
      </c>
      <c r="H655" s="104">
        <f>K266+K347</f>
        <v>616500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29279908.259999998</v>
      </c>
      <c r="G660" s="19">
        <f>(L229+L309+L359)</f>
        <v>0</v>
      </c>
      <c r="H660" s="19">
        <f>(L247+L328+L360)</f>
        <v>13721465.260000002</v>
      </c>
      <c r="I660" s="19">
        <f>SUM(F660:H660)</f>
        <v>43001373.519999996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452757.18576937634</v>
      </c>
      <c r="G661" s="19">
        <f>(L359/IF(SUM(L358:L360)=0,1,SUM(L358:L360))*(SUM(G97:G110)))</f>
        <v>0</v>
      </c>
      <c r="H661" s="19">
        <f>(L360/IF(SUM(L358:L360)=0,1,SUM(L358:L360))*(SUM(G97:G110)))</f>
        <v>300491.54423062352</v>
      </c>
      <c r="I661" s="19">
        <f>SUM(F661:H661)</f>
        <v>753248.72999999986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1477495.12</v>
      </c>
      <c r="G662" s="19">
        <f>(L226+L306)-(J226+J306)</f>
        <v>0</v>
      </c>
      <c r="H662" s="19">
        <f>(L244+L325)-(J244+J325)</f>
        <v>865131.19000000006</v>
      </c>
      <c r="I662" s="19">
        <f>SUM(F662:H662)</f>
        <v>2342626.31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853491.49999999988</v>
      </c>
      <c r="G663" s="199">
        <f>SUM(G575:G587)+SUM(I602:I604)+L612</f>
        <v>0</v>
      </c>
      <c r="H663" s="199">
        <f>SUM(H575:H587)+SUM(J602:J604)+L613</f>
        <v>1279058.33</v>
      </c>
      <c r="I663" s="19">
        <f>SUM(F663:H663)</f>
        <v>2132549.83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26496164.454230621</v>
      </c>
      <c r="G664" s="19">
        <f>G660-SUM(G661:G663)</f>
        <v>0</v>
      </c>
      <c r="H664" s="19">
        <f>H660-SUM(H661:H663)</f>
        <v>11276784.195769377</v>
      </c>
      <c r="I664" s="19">
        <f>I660-SUM(I661:I663)</f>
        <v>37772948.649999999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1979.67</v>
      </c>
      <c r="G665" s="248"/>
      <c r="H665" s="248">
        <v>849.24</v>
      </c>
      <c r="I665" s="19">
        <f>SUM(F665:H665)</f>
        <v>2828.91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13384.13</v>
      </c>
      <c r="G667" s="19" t="e">
        <f>ROUND(G664/G665,2)</f>
        <v>#DIV/0!</v>
      </c>
      <c r="H667" s="19">
        <f>ROUND(H664/H665,2)</f>
        <v>13278.68</v>
      </c>
      <c r="I667" s="19">
        <f>ROUND(I664/I665,2)</f>
        <v>13352.47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-14.27</v>
      </c>
      <c r="I670" s="19">
        <f>SUM(F670:H670)</f>
        <v>-14.27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13384.13</v>
      </c>
      <c r="G672" s="19" t="e">
        <f>ROUND((G664+G669)/(G665+G670),2)</f>
        <v>#DIV/0!</v>
      </c>
      <c r="H672" s="19">
        <f>ROUND((H664+H669)/(H665+H670),2)</f>
        <v>13505.62</v>
      </c>
      <c r="I672" s="19">
        <f>ROUND((I664+I669)/(I665+I670),2)</f>
        <v>13420.17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41" sqref="I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Windham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11394176.280000001</v>
      </c>
      <c r="C9" s="229">
        <f>'DOE25'!G197+'DOE25'!G215+'DOE25'!G233+'DOE25'!G276+'DOE25'!G295+'DOE25'!G314</f>
        <v>5235844.25</v>
      </c>
    </row>
    <row r="10" spans="1:3" x14ac:dyDescent="0.2">
      <c r="A10" t="s">
        <v>779</v>
      </c>
      <c r="B10" s="240">
        <v>10330246.27</v>
      </c>
      <c r="C10" s="240">
        <f>(B10/B9)*C9</f>
        <v>4746947.8446460757</v>
      </c>
    </row>
    <row r="11" spans="1:3" x14ac:dyDescent="0.2">
      <c r="A11" t="s">
        <v>780</v>
      </c>
      <c r="B11" s="240">
        <v>615814.56000000006</v>
      </c>
      <c r="C11" s="240">
        <f>(B11/B10)*C10</f>
        <v>282978.69401071616</v>
      </c>
    </row>
    <row r="12" spans="1:3" x14ac:dyDescent="0.2">
      <c r="A12" t="s">
        <v>781</v>
      </c>
      <c r="B12" s="240">
        <v>448115.45</v>
      </c>
      <c r="C12" s="240">
        <f>(B12/B11)*C11</f>
        <v>205917.71134320757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11394176.279999999</v>
      </c>
      <c r="C13" s="231">
        <f>SUM(C10:C12)</f>
        <v>5235844.2499999991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4194015.9800000004</v>
      </c>
      <c r="C18" s="229">
        <f>'DOE25'!G198+'DOE25'!G216+'DOE25'!G234+'DOE25'!G277+'DOE25'!G296+'DOE25'!G315</f>
        <v>1890834.65</v>
      </c>
    </row>
    <row r="19" spans="1:3" x14ac:dyDescent="0.2">
      <c r="A19" t="s">
        <v>779</v>
      </c>
      <c r="B19" s="240">
        <f>213431+1260+177314.38+247025.5+338982+346772+508931.4+48598+22700.25+1030.47+297.22+94685.93+0.36</f>
        <v>2001028.5099999998</v>
      </c>
      <c r="C19" s="240">
        <f>(B19/B18)*C18</f>
        <v>902145.83358499047</v>
      </c>
    </row>
    <row r="20" spans="1:3" x14ac:dyDescent="0.2">
      <c r="A20" t="s">
        <v>780</v>
      </c>
      <c r="B20" s="240">
        <f>99713.51+420073.6+476955.61+326575.59+235750.16+18925.31+29400+83926.8+39464.03+7889.48+5571.86+1500+1500+2500+100.36+110.83+119.73+104.98+110.83+100.36+11884.68+778.15</f>
        <v>1763055.8700000003</v>
      </c>
      <c r="C20" s="240">
        <f>(B20/B19)*C19</f>
        <v>794857.99405129976</v>
      </c>
    </row>
    <row r="21" spans="1:3" x14ac:dyDescent="0.2">
      <c r="A21" t="s">
        <v>781</v>
      </c>
      <c r="B21" s="240">
        <f>51874.22+72380+76490.15+68443.78+83517+24410.25+23158.27+4800+8011.2+323.38+3955+9979.36+2558.99+30</f>
        <v>429931.60000000003</v>
      </c>
      <c r="C21" s="240">
        <f>(B21/B20)*C20</f>
        <v>193830.82236370977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4194015.98</v>
      </c>
      <c r="C22" s="231">
        <f>SUM(C19:C21)</f>
        <v>1890834.6500000001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1"/>
    </row>
    <row r="29" spans="1:3" x14ac:dyDescent="0.2">
      <c r="A29" t="s">
        <v>780</v>
      </c>
      <c r="B29" s="240"/>
      <c r="C29" s="21"/>
    </row>
    <row r="30" spans="1:3" x14ac:dyDescent="0.2">
      <c r="A30" t="s">
        <v>781</v>
      </c>
      <c r="B30" s="240"/>
      <c r="C30" s="21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571137.57000000007</v>
      </c>
      <c r="C36" s="235">
        <f>'DOE25'!G200+'DOE25'!G218+'DOE25'!G236+'DOE25'!G279+'DOE25'!G298+'DOE25'!G317</f>
        <v>318300.19999999995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2571+27869+30595.12+68195.5+62896.04+78997+37673.25+173215.66+4000+69105+9800+6220</f>
        <v>571137.57000000007</v>
      </c>
      <c r="C39" s="275">
        <f>C36</f>
        <v>318300.19999999995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571137.57000000007</v>
      </c>
      <c r="C40" s="231">
        <f>SUM(C37:C39)</f>
        <v>318300.19999999995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Windham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25369972.939999994</v>
      </c>
      <c r="D5" s="20">
        <f>SUM('DOE25'!L197:L200)+SUM('DOE25'!L215:L218)+SUM('DOE25'!L233:L236)-F5-G5</f>
        <v>25096194.249999996</v>
      </c>
      <c r="E5" s="243"/>
      <c r="F5" s="255">
        <f>SUM('DOE25'!J197:J200)+SUM('DOE25'!J215:J218)+SUM('DOE25'!J233:J236)</f>
        <v>151036.38</v>
      </c>
      <c r="G5" s="53">
        <f>SUM('DOE25'!K197:K200)+SUM('DOE25'!K215:K218)+SUM('DOE25'!K233:K236)</f>
        <v>122742.31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3552582.2600000002</v>
      </c>
      <c r="D6" s="20">
        <f>'DOE25'!L202+'DOE25'!L220+'DOE25'!L238-F6-G6</f>
        <v>3522325.12</v>
      </c>
      <c r="E6" s="243"/>
      <c r="F6" s="255">
        <f>'DOE25'!J202+'DOE25'!J220+'DOE25'!J238</f>
        <v>22630.940000000002</v>
      </c>
      <c r="G6" s="53">
        <f>'DOE25'!K202+'DOE25'!K220+'DOE25'!K238</f>
        <v>7626.2000000000007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2326717.35</v>
      </c>
      <c r="D7" s="20">
        <f>'DOE25'!L203+'DOE25'!L221+'DOE25'!L239-F7-G7</f>
        <v>1764044.73</v>
      </c>
      <c r="E7" s="243"/>
      <c r="F7" s="255">
        <f>'DOE25'!J203+'DOE25'!J221+'DOE25'!J239</f>
        <v>383747.64</v>
      </c>
      <c r="G7" s="53">
        <f>'DOE25'!K203+'DOE25'!K221+'DOE25'!K239</f>
        <v>178924.98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1323166.0399999998</v>
      </c>
      <c r="D8" s="243"/>
      <c r="E8" s="20">
        <f>'DOE25'!L204+'DOE25'!L222+'DOE25'!L240-F8-G8-D9-D11</f>
        <v>1265221.7899999998</v>
      </c>
      <c r="F8" s="255">
        <f>'DOE25'!J204+'DOE25'!J222+'DOE25'!J240</f>
        <v>10023.31</v>
      </c>
      <c r="G8" s="53">
        <f>'DOE25'!K204+'DOE25'!K222+'DOE25'!K240</f>
        <v>47920.94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40905.270000000004</v>
      </c>
      <c r="D9" s="244">
        <f>3500+9100+7699.07+3778.65+620.91+16206.64</f>
        <v>40905.270000000004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24350</v>
      </c>
      <c r="D10" s="243"/>
      <c r="E10" s="244">
        <v>24350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225205.42</v>
      </c>
      <c r="D11" s="244">
        <f>69090.22+128172.5+27942.7</f>
        <v>225205.42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1677387.06</v>
      </c>
      <c r="D12" s="20">
        <f>'DOE25'!L205+'DOE25'!L223+'DOE25'!L241-F12-G12</f>
        <v>1583194.81</v>
      </c>
      <c r="E12" s="243"/>
      <c r="F12" s="255">
        <f>'DOE25'!J205+'DOE25'!J223+'DOE25'!J241</f>
        <v>59530.64</v>
      </c>
      <c r="G12" s="53">
        <f>'DOE25'!K205+'DOE25'!K223+'DOE25'!K241</f>
        <v>34661.61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647537.74</v>
      </c>
      <c r="D13" s="243"/>
      <c r="E13" s="20">
        <f>'DOE25'!L206+'DOE25'!L224+'DOE25'!L242-F13-G13</f>
        <v>647502.74</v>
      </c>
      <c r="F13" s="255">
        <f>'DOE25'!J206+'DOE25'!J224+'DOE25'!J242</f>
        <v>0</v>
      </c>
      <c r="G13" s="53">
        <f>'DOE25'!K206+'DOE25'!K224+'DOE25'!K242</f>
        <v>35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3599786.98</v>
      </c>
      <c r="D14" s="20">
        <f>'DOE25'!L207+'DOE25'!L225+'DOE25'!L243-F14-G14</f>
        <v>3459667.87</v>
      </c>
      <c r="E14" s="243"/>
      <c r="F14" s="255">
        <f>'DOE25'!J207+'DOE25'!J225+'DOE25'!J243</f>
        <v>140119.10999999999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2342626.31</v>
      </c>
      <c r="D15" s="20">
        <f>'DOE25'!L208+'DOE25'!L226+'DOE25'!L244-F15-G15</f>
        <v>2342626.31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149867.5</v>
      </c>
      <c r="D16" s="243"/>
      <c r="E16" s="20">
        <f>'DOE25'!L209+'DOE25'!L227+'DOE25'!L245-F16-G16</f>
        <v>144000</v>
      </c>
      <c r="F16" s="255">
        <f>'DOE25'!J209+'DOE25'!J227+'DOE25'!J245</f>
        <v>0</v>
      </c>
      <c r="G16" s="53">
        <f>'DOE25'!K209+'DOE25'!K227+'DOE25'!K245</f>
        <v>5867.5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294879.56</v>
      </c>
      <c r="D22" s="243"/>
      <c r="E22" s="243"/>
      <c r="F22" s="255">
        <f>'DOE25'!L255+'DOE25'!L336</f>
        <v>294879.56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3552156.25</v>
      </c>
      <c r="D25" s="243"/>
      <c r="E25" s="243"/>
      <c r="F25" s="258"/>
      <c r="G25" s="256"/>
      <c r="H25" s="257">
        <f>'DOE25'!L260+'DOE25'!L261+'DOE25'!L341+'DOE25'!L342</f>
        <v>3552156.25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516275.62999999989</v>
      </c>
      <c r="D29" s="20">
        <f>'DOE25'!L358+'DOE25'!L359+'DOE25'!L360-'DOE25'!I367-F29-G29</f>
        <v>455590.33999999985</v>
      </c>
      <c r="E29" s="243"/>
      <c r="F29" s="255">
        <f>'DOE25'!J358+'DOE25'!J359+'DOE25'!J360</f>
        <v>59238.83</v>
      </c>
      <c r="G29" s="53">
        <f>'DOE25'!K358+'DOE25'!K359+'DOE25'!K360</f>
        <v>1446.46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800379.55</v>
      </c>
      <c r="D31" s="20">
        <f>'DOE25'!L290+'DOE25'!L309+'DOE25'!L328+'DOE25'!L333+'DOE25'!L334+'DOE25'!L335-F31-G31</f>
        <v>788804.14</v>
      </c>
      <c r="E31" s="243"/>
      <c r="F31" s="255">
        <f>'DOE25'!J290+'DOE25'!J309+'DOE25'!J328+'DOE25'!J333+'DOE25'!J334+'DOE25'!J335</f>
        <v>11575.41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39278558.260000005</v>
      </c>
      <c r="E33" s="246">
        <f>SUM(E5:E31)</f>
        <v>2081074.5299999998</v>
      </c>
      <c r="F33" s="246">
        <f>SUM(F5:F31)</f>
        <v>1132781.82</v>
      </c>
      <c r="G33" s="246">
        <f>SUM(G5:G31)</f>
        <v>399225</v>
      </c>
      <c r="H33" s="246">
        <f>SUM(H5:H31)</f>
        <v>3552156.25</v>
      </c>
    </row>
    <row r="35" spans="2:8" ht="12" thickBot="1" x14ac:dyDescent="0.25">
      <c r="B35" s="253" t="s">
        <v>847</v>
      </c>
      <c r="D35" s="254">
        <f>E33</f>
        <v>2081074.5299999998</v>
      </c>
      <c r="E35" s="249"/>
    </row>
    <row r="36" spans="2:8" ht="12" thickTop="1" x14ac:dyDescent="0.2">
      <c r="B36" t="s">
        <v>815</v>
      </c>
      <c r="D36" s="20">
        <f>D33</f>
        <v>39278558.260000005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70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2336834.91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706169.91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196976.96</v>
      </c>
      <c r="E11" s="95">
        <f>'DOE25'!H12</f>
        <v>44010.45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42013.84</v>
      </c>
      <c r="D12" s="95">
        <f>'DOE25'!G13</f>
        <v>7180.05</v>
      </c>
      <c r="E12" s="95">
        <f>'DOE25'!H13</f>
        <v>155194.95000000001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9862.2199999999993</v>
      </c>
      <c r="D13" s="95">
        <f>'DOE25'!G14</f>
        <v>210</v>
      </c>
      <c r="E13" s="95">
        <f>'DOE25'!H14</f>
        <v>700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25821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3641.28</v>
      </c>
      <c r="D16" s="95">
        <f>'DOE25'!G17</f>
        <v>2289.21</v>
      </c>
      <c r="E16" s="95">
        <f>'DOE25'!H17</f>
        <v>664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2392352.25</v>
      </c>
      <c r="D18" s="41">
        <f>SUM(D8:D17)</f>
        <v>232477.21999999997</v>
      </c>
      <c r="E18" s="41">
        <f>SUM(E8:E17)</f>
        <v>200569.40000000002</v>
      </c>
      <c r="F18" s="41">
        <f>SUM(F8:F17)</f>
        <v>0</v>
      </c>
      <c r="G18" s="41">
        <f>SUM(G8:G17)</f>
        <v>706169.91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240987.4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1260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178932.6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19800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3600</v>
      </c>
      <c r="D29" s="95">
        <f>'DOE25'!G30</f>
        <v>35953.25</v>
      </c>
      <c r="E29" s="95">
        <f>'DOE25'!H30</f>
        <v>71329.919999999998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424780</v>
      </c>
      <c r="D31" s="41">
        <f>SUM(D21:D30)</f>
        <v>35953.25</v>
      </c>
      <c r="E31" s="41">
        <f>SUM(E21:E30)</f>
        <v>91129.919999999998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25821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170702.97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344325</v>
      </c>
      <c r="D47" s="95">
        <f>'DOE25'!G48</f>
        <v>0</v>
      </c>
      <c r="E47" s="95">
        <f>'DOE25'!H48</f>
        <v>109439.48</v>
      </c>
      <c r="F47" s="95">
        <f>'DOE25'!I48</f>
        <v>0</v>
      </c>
      <c r="G47" s="95">
        <f>'DOE25'!J48</f>
        <v>706169.91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109368.26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1513878.99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1967572.25</v>
      </c>
      <c r="D50" s="41">
        <f>SUM(D34:D49)</f>
        <v>196523.97</v>
      </c>
      <c r="E50" s="41">
        <f>SUM(E34:E49)</f>
        <v>109439.48</v>
      </c>
      <c r="F50" s="41">
        <f>SUM(F34:F49)</f>
        <v>0</v>
      </c>
      <c r="G50" s="41">
        <f>SUM(G34:G49)</f>
        <v>706169.91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2392352.25</v>
      </c>
      <c r="D51" s="41">
        <f>D50+D31</f>
        <v>232477.22</v>
      </c>
      <c r="E51" s="41">
        <f>E50+E31</f>
        <v>200569.4</v>
      </c>
      <c r="F51" s="41">
        <f>F50+F31</f>
        <v>0</v>
      </c>
      <c r="G51" s="41">
        <f>G50+G31</f>
        <v>706169.91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33826958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72660.710000000006</v>
      </c>
      <c r="D57" s="24" t="s">
        <v>289</v>
      </c>
      <c r="E57" s="95">
        <f>'DOE25'!H79</f>
        <v>102511.79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51.99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743169.19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742479.70000000007</v>
      </c>
      <c r="D61" s="95">
        <f>SUM('DOE25'!G98:G110)</f>
        <v>10079.540000000001</v>
      </c>
      <c r="E61" s="95">
        <f>SUM('DOE25'!H98:H110)</f>
        <v>56813.32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815140.41</v>
      </c>
      <c r="D62" s="130">
        <f>SUM(D57:D61)</f>
        <v>753248.73</v>
      </c>
      <c r="E62" s="130">
        <f>SUM(E57:E61)</f>
        <v>159325.10999999999</v>
      </c>
      <c r="F62" s="130">
        <f>SUM(F57:F61)</f>
        <v>0</v>
      </c>
      <c r="G62" s="130">
        <f>SUM(G57:G61)</f>
        <v>51.99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34642098.409999996</v>
      </c>
      <c r="D63" s="22">
        <f>D56+D62</f>
        <v>753248.73</v>
      </c>
      <c r="E63" s="22">
        <f>E56+E62</f>
        <v>159325.10999999999</v>
      </c>
      <c r="F63" s="22">
        <f>F56+F62</f>
        <v>0</v>
      </c>
      <c r="G63" s="22">
        <f>G56+G62</f>
        <v>51.99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3015227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5128390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8143617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1000823.82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306403.45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7674.2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4799.05</v>
      </c>
      <c r="D77" s="95">
        <f>SUM('DOE25'!G131:G135)</f>
        <v>10505.28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1319700.52</v>
      </c>
      <c r="D78" s="130">
        <f>SUM(D72:D77)</f>
        <v>10505.28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9463317.5199999996</v>
      </c>
      <c r="D81" s="130">
        <f>SUM(D79:D80)+D78+D70</f>
        <v>10505.28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255840.93</v>
      </c>
      <c r="D88" s="95">
        <f>SUM('DOE25'!G153:G161)</f>
        <v>146151.04999999999</v>
      </c>
      <c r="E88" s="95">
        <f>SUM('DOE25'!H153:H161)</f>
        <v>637848.9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255840.93</v>
      </c>
      <c r="D91" s="131">
        <f>SUM(D85:D90)</f>
        <v>146151.04999999999</v>
      </c>
      <c r="E91" s="131">
        <f>SUM(E85:E90)</f>
        <v>637848.9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1101</v>
      </c>
      <c r="F96" s="95">
        <f>'DOE25'!I179</f>
        <v>0</v>
      </c>
      <c r="G96" s="95">
        <f>'DOE25'!J179</f>
        <v>616500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0.48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0.48</v>
      </c>
      <c r="D103" s="86">
        <f>SUM(D93:D102)</f>
        <v>0</v>
      </c>
      <c r="E103" s="86">
        <f>SUM(E93:E102)</f>
        <v>1101</v>
      </c>
      <c r="F103" s="86">
        <f>SUM(F93:F102)</f>
        <v>0</v>
      </c>
      <c r="G103" s="86">
        <f>SUM(G93:G102)</f>
        <v>616500</v>
      </c>
    </row>
    <row r="104" spans="1:7" ht="12.75" thickTop="1" thickBot="1" x14ac:dyDescent="0.25">
      <c r="A104" s="33" t="s">
        <v>765</v>
      </c>
      <c r="C104" s="86">
        <f>C63+C81+C91+C103</f>
        <v>44361257.339999989</v>
      </c>
      <c r="D104" s="86">
        <f>D63+D81+D91+D103</f>
        <v>909905.06</v>
      </c>
      <c r="E104" s="86">
        <f>E63+E81+E91+E103</f>
        <v>798275.01</v>
      </c>
      <c r="F104" s="86">
        <f>F63+F81+F91+F103</f>
        <v>0</v>
      </c>
      <c r="G104" s="86">
        <f>G63+G81+G103</f>
        <v>616551.99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17272349.039999999</v>
      </c>
      <c r="D109" s="24" t="s">
        <v>289</v>
      </c>
      <c r="E109" s="95">
        <f>('DOE25'!L276)+('DOE25'!L295)+('DOE25'!L314)</f>
        <v>81310.350000000006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6983752.4999999991</v>
      </c>
      <c r="D110" s="24" t="s">
        <v>289</v>
      </c>
      <c r="E110" s="95">
        <f>('DOE25'!L277)+('DOE25'!L296)+('DOE25'!L315)</f>
        <v>455902.80000000005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69071.53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1044799.87</v>
      </c>
      <c r="D112" s="24" t="s">
        <v>289</v>
      </c>
      <c r="E112" s="95">
        <f>+('DOE25'!L279)+('DOE25'!L298)+('DOE25'!L317)</f>
        <v>108283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25369972.940000001</v>
      </c>
      <c r="D115" s="86">
        <f>SUM(D109:D114)</f>
        <v>0</v>
      </c>
      <c r="E115" s="86">
        <f>SUM(E109:E114)</f>
        <v>645496.15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3552582.2600000002</v>
      </c>
      <c r="D118" s="24" t="s">
        <v>289</v>
      </c>
      <c r="E118" s="95">
        <f>+('DOE25'!L281)+('DOE25'!L300)+('DOE25'!L319)</f>
        <v>48161.97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2326717.35</v>
      </c>
      <c r="D119" s="24" t="s">
        <v>289</v>
      </c>
      <c r="E119" s="95">
        <f>+('DOE25'!L282)+('DOE25'!L301)+('DOE25'!L320)</f>
        <v>104913.94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1589276.7299999997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1677387.06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647537.74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3599786.98</v>
      </c>
      <c r="D123" s="24" t="s">
        <v>289</v>
      </c>
      <c r="E123" s="95">
        <f>+('DOE25'!L286)+('DOE25'!L305)+('DOE25'!L324)</f>
        <v>1807.49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2342626.31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149867.5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945239.09999999986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15885781.930000002</v>
      </c>
      <c r="D128" s="86">
        <f>SUM(D118:D127)</f>
        <v>945239.09999999986</v>
      </c>
      <c r="E128" s="86">
        <f>SUM(E118:E127)</f>
        <v>154883.4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294879.56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617156.25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1101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616544.91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-51.989999999990687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4464636.8099999996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45720391.680000007</v>
      </c>
      <c r="D145" s="86">
        <f>(D115+D128+D144)</f>
        <v>945239.09999999986</v>
      </c>
      <c r="E145" s="86">
        <f>(E115+E128+E144)</f>
        <v>800379.55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11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Refinanced 01/15/2015</v>
      </c>
      <c r="C152" s="152" t="str">
        <f>'DOE25'!G491</f>
        <v>07/2008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07/2025</v>
      </c>
      <c r="C153" s="152" t="str">
        <f>'DOE25'!G492</f>
        <v>08/2018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19305000</v>
      </c>
      <c r="C154" s="137">
        <f>'DOE25'!G493</f>
        <v>4000000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3.69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19305000</v>
      </c>
      <c r="C156" s="137">
        <f>'DOE25'!G495</f>
        <v>1490000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20795000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2560000</v>
      </c>
      <c r="C158" s="137">
        <f>'DOE25'!G497</f>
        <v>375000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2935000</v>
      </c>
    </row>
    <row r="159" spans="1:9" x14ac:dyDescent="0.2">
      <c r="A159" s="22" t="s">
        <v>35</v>
      </c>
      <c r="B159" s="137">
        <f>'DOE25'!F498</f>
        <v>16745000</v>
      </c>
      <c r="C159" s="137">
        <f>'DOE25'!G498</f>
        <v>1115000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17860000</v>
      </c>
    </row>
    <row r="160" spans="1:9" x14ac:dyDescent="0.2">
      <c r="A160" s="22" t="s">
        <v>36</v>
      </c>
      <c r="B160" s="137">
        <f>'DOE25'!F499</f>
        <v>3054262.5</v>
      </c>
      <c r="C160" s="137">
        <f>'DOE25'!G499</f>
        <v>87543.75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3141806.25</v>
      </c>
    </row>
    <row r="161" spans="1:7" x14ac:dyDescent="0.2">
      <c r="A161" s="22" t="s">
        <v>37</v>
      </c>
      <c r="B161" s="137">
        <f>'DOE25'!F500</f>
        <v>19799262.5</v>
      </c>
      <c r="C161" s="137">
        <f>'DOE25'!G500</f>
        <v>1202543.75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21001806.25</v>
      </c>
    </row>
    <row r="162" spans="1:7" x14ac:dyDescent="0.2">
      <c r="A162" s="22" t="s">
        <v>38</v>
      </c>
      <c r="B162" s="137">
        <f>'DOE25'!F501</f>
        <v>1700000</v>
      </c>
      <c r="C162" s="137">
        <f>'DOE25'!G501</f>
        <v>375000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2075000</v>
      </c>
    </row>
    <row r="163" spans="1:7" x14ac:dyDescent="0.2">
      <c r="A163" s="22" t="s">
        <v>39</v>
      </c>
      <c r="B163" s="137">
        <f>'DOE25'!F502</f>
        <v>506175</v>
      </c>
      <c r="C163" s="137">
        <f>'DOE25'!G502</f>
        <v>48693.75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554868.75</v>
      </c>
    </row>
    <row r="164" spans="1:7" x14ac:dyDescent="0.2">
      <c r="A164" s="22" t="s">
        <v>246</v>
      </c>
      <c r="B164" s="137">
        <f>'DOE25'!F503</f>
        <v>2206175</v>
      </c>
      <c r="C164" s="137">
        <f>'DOE25'!G503</f>
        <v>423693.75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2629868.75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Windham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13384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13506</v>
      </c>
    </row>
    <row r="7" spans="1:4" x14ac:dyDescent="0.2">
      <c r="B7" t="s">
        <v>705</v>
      </c>
      <c r="C7" s="179">
        <f>IF('DOE25'!I665+'DOE25'!I670=0,0,ROUND('DOE25'!I672,0))</f>
        <v>13420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17353659</v>
      </c>
      <c r="D10" s="182">
        <f>ROUND((C10/$C$28)*100,1)</f>
        <v>40.5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7439655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69072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1153083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3600744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2431631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1739144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1677387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647538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3601594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2342626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617156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191990.27000000014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42865279.270000003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294880</v>
      </c>
    </row>
    <row r="30" spans="1:4" x14ac:dyDescent="0.2">
      <c r="B30" s="187" t="s">
        <v>729</v>
      </c>
      <c r="C30" s="180">
        <f>SUM(C28:C29)</f>
        <v>43160159.270000003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2935000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33826958</v>
      </c>
      <c r="D35" s="182">
        <f t="shared" ref="D35:D40" si="1">ROUND((C35/$C$41)*100,1)</f>
        <v>74.599999999999994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974517.51000000536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8143617</v>
      </c>
      <c r="D37" s="182">
        <f t="shared" si="1"/>
        <v>18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1330206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1039841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45315139.510000005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Windham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>
        <v>3</v>
      </c>
      <c r="B4" s="219">
        <v>24</v>
      </c>
      <c r="C4" s="287" t="s">
        <v>915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18</v>
      </c>
      <c r="C5" s="287" t="s">
        <v>916</v>
      </c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5</v>
      </c>
      <c r="B6" s="219">
        <v>14</v>
      </c>
      <c r="C6" s="287" t="s">
        <v>917</v>
      </c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2016-09-28T18:32:28Z</cp:lastPrinted>
  <dcterms:created xsi:type="dcterms:W3CDTF">1997-12-04T19:04:30Z</dcterms:created>
  <dcterms:modified xsi:type="dcterms:W3CDTF">2016-12-01T18:52:51Z</dcterms:modified>
</cp:coreProperties>
</file>