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60" yWindow="330" windowWidth="21540" windowHeight="111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33" i="1" l="1"/>
  <c r="F465" i="1"/>
  <c r="K533" i="1" l="1"/>
  <c r="J523" i="1"/>
  <c r="I523" i="1"/>
  <c r="H523" i="1"/>
  <c r="G523" i="1"/>
  <c r="F523" i="1"/>
  <c r="G533" i="1" l="1"/>
  <c r="C10" i="12"/>
  <c r="C19" i="12"/>
  <c r="C20" i="12"/>
  <c r="C21" i="12"/>
  <c r="C12" i="12"/>
  <c r="G241" i="1"/>
  <c r="G239" i="1"/>
  <c r="G236" i="1"/>
  <c r="F502" i="1" l="1"/>
  <c r="H255" i="1" l="1"/>
  <c r="K236" i="1"/>
  <c r="J591" i="1" l="1"/>
  <c r="H244" i="1"/>
  <c r="B12" i="12" l="1"/>
  <c r="B11" i="12"/>
  <c r="B10" i="12"/>
  <c r="B19" i="12"/>
  <c r="B20" i="12"/>
  <c r="B21" i="12"/>
  <c r="B39" i="12"/>
  <c r="K241" i="1" l="1"/>
  <c r="J243" i="1"/>
  <c r="J239" i="1"/>
  <c r="I239" i="1"/>
  <c r="I238" i="1"/>
  <c r="I236" i="1"/>
  <c r="H243" i="1"/>
  <c r="F243" i="1"/>
  <c r="H240" i="1"/>
  <c r="H239" i="1"/>
  <c r="H238" i="1"/>
  <c r="F236" i="1"/>
  <c r="F239" i="1"/>
  <c r="F238" i="1"/>
  <c r="F533" i="1"/>
  <c r="J604" i="1"/>
  <c r="F110" i="1"/>
  <c r="F101" i="1"/>
  <c r="F118" i="1"/>
  <c r="F57" i="1"/>
  <c r="F29" i="1"/>
  <c r="F12" i="1"/>
  <c r="F9" i="1"/>
  <c r="K320" i="1"/>
  <c r="H155" i="1"/>
  <c r="H159" i="1"/>
  <c r="H157" i="1"/>
  <c r="H154" i="1"/>
  <c r="H399" i="1"/>
  <c r="H396" i="1"/>
  <c r="H397" i="1"/>
  <c r="J96" i="1"/>
  <c r="I360" i="1"/>
  <c r="H367" i="1"/>
  <c r="H360" i="1"/>
  <c r="F36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8" i="2" s="1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D5" i="13"/>
  <c r="C5" i="13" s="1"/>
  <c r="E16" i="13"/>
  <c r="C16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C81" i="2" l="1"/>
  <c r="C62" i="2"/>
  <c r="C63" i="2" s="1"/>
  <c r="E33" i="13"/>
  <c r="D35" i="13" s="1"/>
  <c r="F664" i="1"/>
  <c r="I66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104" i="2" l="1"/>
  <c r="C104" i="2"/>
  <c r="C28" i="10"/>
  <c r="D24" i="10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5" i="10"/>
  <c r="D26" i="10"/>
  <c r="D18" i="10"/>
  <c r="D13" i="10"/>
  <c r="D20" i="10"/>
  <c r="D10" i="10"/>
  <c r="D27" i="10"/>
  <c r="D11" i="10" l="1"/>
  <c r="D17" i="10"/>
  <c r="D25" i="10"/>
  <c r="C30" i="10"/>
  <c r="D12" i="10"/>
  <c r="D21" i="10"/>
  <c r="D16" i="10"/>
  <c r="D19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<sst xmlns="http://schemas.openxmlformats.org/spreadsheetml/2006/main" count="3960" uniqueCount="917">
  <si>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</si>
  <si>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</si>
  <si>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</si>
  <si>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</si>
  <si>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</si>
  <si>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</si>
  <si>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</si>
  <si>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</si>
  <si>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</si>
  <si>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</si>
  <si>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</si>
  <si>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</si>
  <si>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</si>
  <si>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</si>
  <si>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</si>
  <si>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</si>
  <si>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</si>
  <si>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</si>
  <si>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</si>
  <si>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</si>
  <si>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</si>
  <si>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</si>
  <si>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</si>
  <si>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</si>
  <si>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</si>
  <si>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</si>
  <si>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</si>
  <si>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</si>
  <si>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</si>
  <si>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</si>
  <si>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</si>
  <si>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</si>
  <si>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</si>
  <si>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</si>
  <si>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</si>
  <si>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</si>
  <si>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</si>
  <si>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</si>
  <si>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</si>
  <si>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</si>
  <si>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</si>
  <si>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</si>
  <si>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</si>
  <si>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</si>
  <si>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</si>
  <si>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</si>
  <si>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</si>
  <si>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</si>
  <si>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</si>
  <si>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</si>
  <si>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</si>
  <si>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</si>
  <si>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</si>
  <si>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</si>
  <si>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</si>
  <si>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</si>
  <si>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</si>
  <si>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</si>
  <si>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</si>
  <si>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</si>
  <si>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</si>
  <si>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</si>
  <si>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</si>
  <si>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</si>
  <si>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</si>
  <si>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</si>
  <si>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</si>
  <si>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</si>
  <si>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</si>
  <si>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</si>
  <si>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</si>
  <si>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</si>
  <si>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</si>
  <si>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</si>
  <si>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</si>
  <si>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</si>
  <si>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</si>
  <si>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</si>
  <si>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</si>
  <si>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</si>
  <si>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</si>
  <si>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</si>
  <si>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</si>
  <si>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</si>
  <si>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</si>
  <si>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</si>
  <si>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</si>
  <si>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</si>
  <si>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</si>
  <si>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</si>
  <si>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</si>
  <si>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</si>
  <si>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</si>
  <si>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</si>
  <si>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</si>
  <si>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</si>
  <si>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</si>
  <si>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</si>
  <si>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</si>
  <si>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</si>
  <si>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</si>
  <si>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</si>
  <si>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</si>
  <si>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</si>
  <si>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</si>
  <si>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</si>
  <si>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</si>
  <si>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</si>
  <si>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</si>
  <si>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</si>
  <si>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</si>
  <si>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</si>
  <si>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</si>
  <si>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</si>
  <si>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</si>
  <si>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</si>
  <si>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</si>
  <si>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</si>
  <si>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</si>
  <si>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</si>
  <si>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</si>
  <si>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</si>
  <si>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</si>
  <si>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</si>
  <si>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</si>
  <si>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</si>
  <si>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</si>
  <si>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</si>
  <si>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</si>
  <si>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</si>
  <si>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</si>
  <si>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</si>
  <si>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</si>
  <si>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</si>
  <si>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</si>
  <si>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</si>
  <si>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</si>
  <si>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</si>
  <si>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</si>
  <si>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</si>
  <si>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</si>
  <si>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</si>
  <si>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</si>
  <si>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</si>
  <si>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</si>
  <si>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</si>
  <si>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</si>
  <si>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</si>
  <si>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</si>
  <si>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</si>
  <si>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</si>
  <si>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</si>
  <si>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</si>
  <si>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</si>
  <si>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</si>
  <si>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</si>
  <si>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</si>
  <si>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</si>
  <si>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</si>
  <si>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</si>
  <si>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</si>
  <si>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</si>
  <si>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</si>
  <si>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</si>
  <si>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</si>
  <si>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</si>
  <si>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</si>
  <si>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</si>
  <si>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</si>
  <si>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</si>
  <si>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</si>
  <si>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</si>
  <si>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</si>
  <si>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</si>
  <si>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</si>
  <si>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</si>
  <si>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</si>
  <si>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</si>
  <si>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</si>
  <si>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</si>
  <si>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</si>
  <si>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</si>
  <si>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</si>
  <si>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</si>
  <si>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</si>
  <si>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</si>
  <si>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</si>
  <si>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</si>
  <si>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</si>
  <si>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</si>
  <si>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</si>
  <si>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</si>
  <si>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</si>
  <si>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</si>
  <si>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</si>
  <si>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</si>
  <si>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</si>
  <si>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</si>
  <si>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</si>
  <si>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</si>
  <si>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</si>
  <si>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</si>
  <si>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</si>
  <si>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</si>
  <si>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</si>
  <si>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</si>
  <si>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</si>
  <si>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</si>
  <si>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</si>
  <si>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</si>
  <si>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</si>
  <si>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</si>
  <si>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</si>
  <si>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</si>
  <si>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</si>
  <si>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</si>
  <si>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</si>
  <si>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</si>
  <si>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</si>
  <si>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</si>
  <si>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</si>
  <si>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</si>
  <si>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</si>
  <si>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</si>
  <si>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</si>
  <si>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</si>
  <si>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</si>
  <si>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</si>
  <si>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</si>
  <si>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</si>
  <si>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</si>
  <si>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</si>
  <si>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</si>
  <si>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</si>
  <si>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</si>
  <si>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</si>
  <si>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</si>
  <si>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</si>
  <si>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</si>
  <si>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</si>
  <si>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</si>
  <si>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</si>
  <si>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</si>
  <si>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</si>
  <si>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</si>
  <si>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</si>
  <si>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</si>
  <si>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</si>
  <si>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</si>
  <si>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</si>
  <si>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</si>
  <si>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</si>
  <si>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</si>
  <si>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</si>
  <si>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</si>
  <si>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</si>
  <si>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</si>
  <si>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</si>
  <si>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</si>
  <si>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</si>
  <si>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</si>
  <si>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</si>
  <si>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</si>
  <si>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</si>
  <si>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</si>
  <si>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</si>
  <si>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</si>
  <si>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</si>
  <si>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</si>
  <si>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</si>
  <si>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</si>
  <si>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</si>
  <si>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</si>
  <si>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</si>
  <si>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</si>
  <si>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</si>
  <si>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</si>
  <si>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</si>
  <si>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</si>
  <si>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</si>
  <si>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</si>
  <si>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</si>
  <si>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</si>
  <si>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</si>
  <si>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</si>
  <si>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</si>
  <si>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</si>
  <si>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</si>
  <si>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</si>
  <si>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</si>
  <si>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</si>
  <si>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</si>
  <si>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</si>
  <si>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</si>
  <si>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</si>
  <si>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</si>
  <si>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</si>
  <si>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</si>
  <si>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</si>
  <si>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</si>
  <si>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</si>
  <si>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</si>
  <si>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</si>
  <si>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</si>
  <si>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</si>
  <si>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</si>
  <si>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</si>
  <si>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</si>
  <si>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</si>
  <si>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</si>
  <si>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</si>
  <si>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</si>
  <si>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</si>
  <si>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</si>
  <si>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</si>
  <si>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</si>
  <si>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</si>
  <si>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</si>
  <si>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</si>
  <si>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</si>
  <si>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</si>
  <si>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</si>
  <si>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</si>
  <si>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</si>
  <si>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</si>
  <si>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</si>
  <si>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</si>
  <si>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</si>
  <si>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</si>
  <si>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</si>
  <si>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</si>
  <si>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</si>
  <si>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</si>
  <si>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</si>
  <si>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</si>
  <si>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</si>
  <si>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</si>
  <si>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</si>
  <si>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</si>
  <si>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</si>
  <si>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</si>
  <si>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</si>
  <si>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</si>
  <si>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</si>
  <si>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</si>
  <si>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</si>
  <si>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</si>
  <si>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</si>
  <si>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</si>
  <si>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</si>
  <si>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</si>
  <si>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</si>
  <si>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</si>
  <si>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</si>
  <si>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</si>
  <si>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</si>
  <si>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</si>
  <si>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</si>
  <si>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</si>
  <si>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</si>
  <si>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</si>
  <si>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</si>
  <si>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</si>
  <si>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</si>
  <si>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</si>
  <si>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</si>
  <si>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</si>
  <si>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</si>
  <si>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</si>
  <si>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</si>
  <si>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</si>
  <si>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</si>
  <si>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</si>
  <si>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</si>
  <si>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</si>
  <si>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</si>
  <si>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</si>
  <si>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</si>
  <si>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</si>
  <si>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</si>
  <si>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</si>
  <si>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</si>
  <si>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</si>
  <si>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</si>
  <si>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</si>
  <si>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</si>
  <si>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</si>
  <si>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</si>
  <si>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</si>
  <si>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</si>
  <si>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</si>
  <si>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</si>
  <si>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</si>
  <si>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</si>
  <si>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</si>
  <si>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</si>
  <si>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</si>
  <si>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</si>
  <si>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</si>
  <si>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</si>
  <si>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</si>
  <si>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</si>
  <si>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</si>
  <si>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</si>
  <si>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</si>
  <si>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</si>
  <si>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</si>
  <si>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</si>
  <si>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</si>
  <si>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</si>
  <si>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</si>
  <si>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</si>
  <si>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</si>
  <si>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</si>
  <si>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</si>
  <si>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</si>
  <si>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</si>
  <si>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</si>
  <si>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</si>
  <si>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</si>
  <si>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</si>
  <si>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</si>
  <si>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</si>
  <si>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</si>
  <si>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</si>
  <si>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</si>
  <si>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</si>
  <si>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</si>
  <si>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</si>
  <si>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</si>
  <si>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</si>
  <si>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</si>
  <si>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</si>
  <si>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</si>
  <si>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</si>
  <si>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</si>
  <si>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</si>
  <si>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</si>
  <si>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</si>
  <si>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</si>
  <si>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</si>
  <si>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</si>
  <si>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</si>
  <si>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</si>
  <si>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</si>
  <si>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</si>
  <si>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</si>
  <si>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</si>
  <si>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</si>
  <si>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</si>
  <si>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</si>
  <si>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</si>
  <si>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</si>
  <si>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</si>
  <si>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</si>
  <si>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</si>
  <si>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</si>
  <si>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</si>
  <si>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</si>
  <si>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</si>
  <si>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</si>
  <si>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</si>
  <si>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</si>
  <si>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</si>
  <si>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</si>
  <si>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</si>
  <si>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</si>
  <si>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</si>
  <si>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</si>
  <si>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</si>
  <si>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</si>
  <si>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</si>
  <si>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</si>
  <si>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</si>
  <si>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</si>
  <si>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</si>
  <si>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</si>
  <si>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</si>
  <si>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</si>
  <si>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</si>
  <si>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</si>
  <si>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</si>
  <si>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</si>
  <si>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</si>
  <si>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</si>
  <si>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</si>
  <si>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</si>
  <si>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</si>
  <si>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</si>
  <si>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</si>
  <si>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</si>
  <si>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</si>
  <si>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</si>
  <si>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</si>
  <si>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</si>
  <si>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</si>
  <si>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</si>
  <si>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</si>
  <si>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</si>
  <si>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</si>
  <si>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</si>
  <si>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</si>
  <si>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</si>
  <si>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</si>
  <si>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</si>
  <si>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</si>
  <si>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</si>
  <si>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</si>
  <si>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</si>
  <si>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</si>
  <si>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</si>
  <si>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</si>
  <si>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</si>
  <si>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</si>
  <si>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</si>
  <si>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</si>
  <si>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</si>
  <si>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</si>
  <si>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</si>
  <si>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</si>
  <si>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</si>
  <si>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</si>
  <si>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</si>
  <si>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</si>
  <si>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</si>
  <si>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</si>
  <si>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</si>
  <si>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</si>
  <si>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</si>
  <si>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</si>
  <si>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</si>
  <si>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</si>
  <si>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</si>
  <si>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</si>
  <si>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</si>
  <si>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</si>
  <si>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</si>
  <si>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</si>
  <si>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</si>
  <si>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</si>
  <si>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</si>
  <si>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</si>
  <si>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</si>
  <si>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</si>
  <si>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</si>
  <si>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</si>
  <si>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</si>
  <si>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</si>
  <si>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</si>
  <si>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</si>
  <si>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</si>
  <si>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</si>
  <si>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</si>
  <si>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</si>
  <si>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</si>
  <si>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</si>
  <si>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</si>
  <si>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</si>
  <si>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</si>
  <si>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</si>
  <si>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</si>
  <si>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</si>
  <si>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</si>
  <si>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</si>
  <si>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</si>
  <si>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</si>
  <si>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</si>
  <si>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</si>
  <si>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</si>
  <si>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</si>
  <si>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</si>
  <si>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</si>
  <si>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</si>
  <si>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</si>
  <si>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</si>
  <si>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</si>
  <si>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</si>
  <si>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</si>
  <si>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</si>
  <si>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</si>
  <si>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</si>
  <si>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</si>
  <si>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</si>
  <si>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</si>
  <si>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</si>
  <si>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</si>
  <si>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</si>
  <si>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</si>
  <si>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</si>
  <si>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</si>
  <si>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</si>
  <si>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</si>
  <si>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</si>
  <si>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</si>
  <si>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</si>
  <si>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</si>
  <si>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</si>
  <si>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</si>
  <si>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</si>
  <si>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</si>
  <si>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</si>
  <si>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</si>
  <si>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</si>
  <si>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</si>
  <si>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</si>
  <si>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</si>
  <si>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</si>
  <si>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</si>
  <si>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</si>
  <si>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</si>
  <si>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</si>
  <si>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</si>
  <si>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</si>
  <si>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</si>
  <si>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</si>
  <si>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</si>
  <si>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</si>
  <si>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</si>
  <si>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</si>
  <si>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</si>
  <si>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</si>
  <si>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</si>
  <si>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</si>
  <si>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</si>
  <si>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</si>
  <si>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</si>
  <si>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</si>
  <si>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</si>
  <si>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</si>
  <si>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</si>
  <si>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</si>
  <si>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</si>
  <si>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</si>
  <si>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</si>
  <si>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</si>
  <si>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</si>
  <si>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</si>
  <si>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</si>
  <si>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</si>
  <si>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</si>
  <si>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</si>
  <si>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</si>
  <si>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</si>
  <si>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</si>
  <si>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</si>
  <si>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</si>
  <si>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</si>
  <si>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</si>
  <si>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</si>
  <si>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</si>
  <si>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</si>
  <si>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</si>
  <si>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</si>
  <si>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</si>
  <si>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</si>
  <si>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</si>
  <si>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</si>
  <si>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</si>
  <si>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</si>
  <si>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</si>
  <si>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</si>
  <si>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</si>
  <si>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</si>
  <si>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</si>
  <si>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</si>
  <si>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</si>
  <si>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</si>
  <si>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</si>
  <si>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</si>
  <si>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</si>
  <si>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</si>
  <si>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</si>
  <si>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</si>
  <si>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</si>
  <si>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</si>
  <si>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</si>
  <si>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</si>
  <si>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</si>
  <si>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</si>
  <si>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</si>
  <si>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</si>
  <si>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</si>
  <si>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</si>
  <si>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</si>
  <si>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</si>
  <si>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</si>
  <si>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</si>
  <si>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</si>
  <si>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</si>
  <si>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</si>
  <si>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</si>
  <si>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</si>
  <si>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</si>
  <si>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</si>
  <si>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</si>
  <si>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</si>
  <si>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</si>
  <si>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</si>
  <si>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</si>
  <si>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</si>
  <si>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</si>
  <si>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</si>
  <si>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</si>
  <si>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</si>
  <si>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</si>
  <si>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</si>
  <si>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</si>
  <si>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</si>
  <si>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</si>
  <si>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</si>
  <si>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</si>
  <si>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</si>
  <si>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</si>
  <si>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</si>
  <si>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</si>
  <si>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</si>
  <si>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</si>
  <si>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</si>
  <si>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</si>
  <si>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</si>
  <si>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</si>
  <si>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</si>
  <si>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</si>
  <si>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</si>
  <si>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</si>
  <si>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</si>
  <si>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</si>
  <si>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</si>
  <si>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</si>
  <si>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</si>
  <si>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</si>
  <si>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</si>
  <si>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</si>
  <si>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</si>
  <si>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</si>
  <si>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</si>
  <si>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</si>
  <si>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</si>
  <si>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</si>
  <si>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</si>
  <si>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</si>
  <si>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</si>
  <si>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</si>
  <si>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</si>
  <si>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</si>
  <si>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</si>
  <si>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</si>
  <si>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</si>
  <si>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</si>
  <si>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</si>
  <si>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</si>
  <si>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</si>
  <si>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</si>
  <si>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</si>
  <si>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</si>
  <si>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</si>
  <si>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</si>
  <si>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</si>
  <si>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</si>
  <si>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</si>
  <si>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</si>
  <si>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</si>
  <si>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</si>
  <si>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</si>
  <si>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</si>
  <si>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</si>
  <si>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</si>
  <si>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</si>
  <si>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</si>
  <si>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</si>
  <si>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</si>
  <si>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</si>
  <si>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</si>
  <si>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</si>
  <si>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</si>
  <si>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</si>
  <si>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</si>
  <si>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</si>
  <si>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</si>
  <si>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</si>
  <si>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</si>
  <si>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</si>
  <si>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</si>
  <si>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</si>
  <si>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</si>
  <si>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</si>
  <si>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</si>
  <si>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</si>
  <si>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</si>
  <si>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</si>
  <si>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</si>
  <si>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</si>
  <si>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</si>
  <si>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</si>
  <si>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</si>
  <si>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</si>
  <si>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</si>
  <si>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</si>
  <si>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</si>
  <si>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</si>
  <si>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</si>
  <si>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</si>
  <si>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</si>
  <si>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</si>
  <si>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</si>
  <si>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</si>
  <si>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</si>
  <si>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</si>
  <si>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</si>
  <si>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</si>
  <si>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</si>
  <si>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</si>
  <si>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</si>
  <si>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</si>
  <si>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</si>
  <si>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</si>
  <si>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</si>
  <si>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</si>
  <si>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</si>
  <si>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</si>
  <si>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</si>
  <si>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</si>
  <si>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</si>
  <si>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</si>
  <si>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</si>
  <si>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</si>
  <si>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</si>
  <si>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</si>
  <si>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</si>
  <si>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</si>
  <si>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</si>
  <si>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</si>
  <si>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</si>
  <si>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</si>
  <si>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</si>
  <si>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</si>
  <si>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</si>
  <si>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</si>
  <si>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</si>
  <si>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</si>
  <si>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</si>
  <si>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</si>
  <si>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</si>
  <si>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</si>
  <si>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</si>
  <si>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</si>
  <si>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</si>
  <si>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</si>
  <si>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</si>
  <si>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</si>
  <si>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</si>
  <si>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</si>
  <si>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</si>
  <si>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</si>
  <si>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</si>
  <si>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</si>
  <si>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</si>
  <si>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</si>
  <si>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</si>
  <si>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</si>
  <si>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</si>
  <si>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</si>
  <si>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</si>
  <si>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</si>
  <si>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</si>
  <si>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</si>
  <si>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</si>
  <si>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</si>
  <si>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</si>
  <si>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</si>
  <si>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</si>
  <si>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</si>
  <si>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</si>
  <si>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</si>
  <si>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</si>
  <si>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</si>
  <si>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</si>
  <si>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</si>
  <si>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</si>
  <si>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</si>
  <si>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</si>
  <si>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</si>
  <si>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</si>
  <si>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</si>
  <si>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</si>
  <si>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</si>
  <si>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</si>
  <si>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</si>
  <si>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</si>
  <si>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</si>
  <si>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</si>
  <si>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</si>
  <si>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</si>
  <si>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</si>
  <si>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</si>
  <si>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</si>
  <si>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</si>
  <si>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</si>
  <si>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</si>
  <si>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</si>
  <si>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</si>
  <si>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</si>
  <si>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</si>
  <si>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</si>
  <si>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</si>
  <si>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</si>
  <si>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</si>
  <si>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</si>
  <si>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</si>
  <si>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</si>
  <si>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</si>
  <si>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</si>
  <si>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WINNACUNNET</t>
  </si>
  <si>
    <t>August 2004</t>
  </si>
  <si>
    <t>August 2024</t>
  </si>
  <si>
    <t>Other Local Revenue includes:  $190,299.26 for LGC Refund</t>
  </si>
  <si>
    <t>Auditor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</si>
</sst>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581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1339432.03+200</f>
        <v>1339632.03</v>
      </c>
      <c r="G9" s="18">
        <v>200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34147.58</v>
      </c>
      <c r="G10" s="18"/>
      <c r="H10" s="18"/>
      <c r="I10" s="18"/>
      <c r="J10" s="67">
        <f>SUM(I440)</f>
        <v>541208.54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46418.13-1664.1</f>
        <v>44754.03</v>
      </c>
      <c r="G12" s="18">
        <v>1703.81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101462.09</v>
      </c>
      <c r="G13" s="18">
        <v>7320.39</v>
      </c>
      <c r="H13" s="18">
        <v>50134.559999999998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22460.1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4875.95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5632.71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1548088.5400000003</v>
      </c>
      <c r="G19" s="41">
        <f>SUM(G9:G18)</f>
        <v>14100.150000000001</v>
      </c>
      <c r="H19" s="41">
        <f>SUM(H9:H18)</f>
        <v>50134.559999999998</v>
      </c>
      <c r="I19" s="41">
        <f>SUM(I9:I18)</f>
        <v>0</v>
      </c>
      <c r="J19" s="41">
        <f>SUM(J9:J18)</f>
        <v>541208.54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46457.84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111296.52</v>
      </c>
      <c r="G24" s="18">
        <v>70.75</v>
      </c>
      <c r="H24" s="18">
        <v>3676.72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19168.560000000001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1476.38+8766.56+4532.43+2035.29</f>
        <v>16810.66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575000</v>
      </c>
      <c r="G30" s="18">
        <v>9113.74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722275.74</v>
      </c>
      <c r="G32" s="41">
        <f>SUM(G22:G31)</f>
        <v>9184.49</v>
      </c>
      <c r="H32" s="41">
        <f>SUM(H22:H31)</f>
        <v>50134.559999999998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4875.95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5632.71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39.71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15246.59</v>
      </c>
      <c r="G48" s="18"/>
      <c r="H48" s="18"/>
      <c r="I48" s="18"/>
      <c r="J48" s="13">
        <f>SUM(I459)</f>
        <v>541208.54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46641.27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758292.23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825812.79999999993</v>
      </c>
      <c r="G51" s="41">
        <f>SUM(G35:G50)</f>
        <v>4915.66</v>
      </c>
      <c r="H51" s="41">
        <f>SUM(H35:H50)</f>
        <v>0</v>
      </c>
      <c r="I51" s="41">
        <f>SUM(I35:I50)</f>
        <v>0</v>
      </c>
      <c r="J51" s="41">
        <f>SUM(J35:J50)</f>
        <v>541208.54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1548088.54</v>
      </c>
      <c r="G52" s="41">
        <f>G51+G32</f>
        <v>14100.15</v>
      </c>
      <c r="H52" s="41">
        <f>H51+H32</f>
        <v>50134.559999999998</v>
      </c>
      <c r="I52" s="41">
        <f>I51+I32</f>
        <v>0</v>
      </c>
      <c r="J52" s="41">
        <f>J51+J32</f>
        <v>541208.54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1156377+2206691+5421656+7268724</f>
        <v>16053448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16053448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3190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4105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7834.05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15129.05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760.44</v>
      </c>
      <c r="G96" s="18"/>
      <c r="H96" s="18"/>
      <c r="I96" s="18"/>
      <c r="J96" s="18">
        <f>779.41+9176.31+6283.32</f>
        <v>16239.039999999999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364167.17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10221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6900+9500</f>
        <v>16400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3092.85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102615.02+190299.26+21205+7700+1411.95</f>
        <v>323231.23000000004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353705.52</v>
      </c>
      <c r="G111" s="41">
        <f>SUM(G96:G110)</f>
        <v>364167.17</v>
      </c>
      <c r="H111" s="41">
        <f>SUM(H96:H110)</f>
        <v>0</v>
      </c>
      <c r="I111" s="41">
        <f>SUM(I96:I110)</f>
        <v>0</v>
      </c>
      <c r="J111" s="41">
        <f>SUM(J96:J110)</f>
        <v>16239.039999999999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16422282.57</v>
      </c>
      <c r="G112" s="41">
        <f>G60+G111</f>
        <v>364167.17</v>
      </c>
      <c r="H112" s="41">
        <f>H60+H79+H94+H111</f>
        <v>0</v>
      </c>
      <c r="I112" s="41">
        <f>I60+I111</f>
        <v>0</v>
      </c>
      <c r="J112" s="41">
        <f>J60+J111</f>
        <v>16239.039999999999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507431.97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2284585+291515+668042+1173404</f>
        <v>4417546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4924977.97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687339.18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317473.81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13045.2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4425.45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1017858.19</v>
      </c>
      <c r="G136" s="41">
        <f>SUM(G123:G135)</f>
        <v>4425.45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5942836.1600000001</v>
      </c>
      <c r="G140" s="41">
        <f>G121+SUM(G136:G137)</f>
        <v>4425.45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1620.89+169212.05</f>
        <v>170832.94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9821.52+50553.56+758.3</f>
        <v>61133.380000000005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47998.96+20044.26</f>
        <v>68043.22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111577.27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89.93+11432.13+219259.49</f>
        <v>230781.55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90435.89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13588.59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90435.89</v>
      </c>
      <c r="G162" s="41">
        <f>SUM(G150:G161)</f>
        <v>125165.86</v>
      </c>
      <c r="H162" s="41">
        <f>SUM(H150:H161)</f>
        <v>530791.09000000008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90435.89</v>
      </c>
      <c r="G169" s="41">
        <f>G147+G162+SUM(G163:G168)</f>
        <v>125165.86</v>
      </c>
      <c r="H169" s="41">
        <f>H147+H162+SUM(H163:H168)</f>
        <v>530791.09000000008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58150</v>
      </c>
      <c r="H179" s="18"/>
      <c r="I179" s="18"/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58150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41216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41216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41216</v>
      </c>
      <c r="G192" s="41">
        <f>G183+SUM(G188:G191)</f>
        <v>58150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22496770.620000001</v>
      </c>
      <c r="G193" s="47">
        <f>G112+G140+G169+G192</f>
        <v>551908.48</v>
      </c>
      <c r="H193" s="47">
        <f>H112+H140+H169+H192</f>
        <v>530791.09000000008</v>
      </c>
      <c r="I193" s="47">
        <f>I112+I140+I169+I192</f>
        <v>0</v>
      </c>
      <c r="J193" s="47">
        <f>J112+J140+J192</f>
        <v>16239.039999999999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6016344.9900000002</v>
      </c>
      <c r="G233" s="18">
        <v>2586814.11</v>
      </c>
      <c r="H233" s="18">
        <v>3251.7</v>
      </c>
      <c r="I233" s="18">
        <f>152809.52+273</f>
        <v>153082.51999999999</v>
      </c>
      <c r="J233" s="18">
        <v>74783.56</v>
      </c>
      <c r="K233" s="18"/>
      <c r="L233" s="19">
        <f>SUM(F233:K233)</f>
        <v>8834276.879999999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1582788</v>
      </c>
      <c r="G234" s="18">
        <v>667355.32999999996</v>
      </c>
      <c r="H234" s="18">
        <v>990319.69</v>
      </c>
      <c r="I234" s="18">
        <v>3723.23</v>
      </c>
      <c r="J234" s="18">
        <v>1053.06</v>
      </c>
      <c r="K234" s="18">
        <v>780</v>
      </c>
      <c r="L234" s="19">
        <f>SUM(F234:K234)</f>
        <v>3246019.31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150790</v>
      </c>
      <c r="I235" s="18"/>
      <c r="J235" s="18"/>
      <c r="K235" s="18"/>
      <c r="L235" s="19">
        <f>SUM(F235:K235)</f>
        <v>150790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426203.77+55544</f>
        <v>481747.77</v>
      </c>
      <c r="G236" s="18">
        <f>125830.39+4249.12</f>
        <v>130079.51</v>
      </c>
      <c r="H236" s="18">
        <v>133424.18</v>
      </c>
      <c r="I236" s="18">
        <f>52458.78+8515.79</f>
        <v>60974.57</v>
      </c>
      <c r="J236" s="18">
        <v>35483.9</v>
      </c>
      <c r="K236" s="18">
        <f>25291.7+2481.42</f>
        <v>27773.120000000003</v>
      </c>
      <c r="L236" s="19">
        <f>SUM(F236:K236)</f>
        <v>869483.04999999993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688559.19+125263.17</f>
        <v>813822.36</v>
      </c>
      <c r="G238" s="18">
        <v>404136.49</v>
      </c>
      <c r="H238" s="18">
        <f>71123.48+966</f>
        <v>72089.48</v>
      </c>
      <c r="I238" s="18">
        <f>2136.12+3111.87</f>
        <v>5247.99</v>
      </c>
      <c r="J238" s="18">
        <v>999.95</v>
      </c>
      <c r="K238" s="18">
        <v>454</v>
      </c>
      <c r="L238" s="19">
        <f t="shared" ref="L238:L244" si="4">SUM(F238:K238)</f>
        <v>1296750.27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202221.23+118484.02+207939.14+41164.16</f>
        <v>569808.55000000005</v>
      </c>
      <c r="G239" s="18">
        <f>23042.25+257321.53</f>
        <v>280363.78000000003</v>
      </c>
      <c r="H239" s="18">
        <f>16700.04+2457.8+27002.72+42430.35</f>
        <v>88590.91</v>
      </c>
      <c r="I239" s="18">
        <f>1007.94+36601.3+122737.31</f>
        <v>160346.54999999999</v>
      </c>
      <c r="J239" s="18">
        <f>7948.68+204229.51</f>
        <v>212178.19</v>
      </c>
      <c r="K239" s="18"/>
      <c r="L239" s="19">
        <f t="shared" si="4"/>
        <v>1311287.98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28175</v>
      </c>
      <c r="G240" s="18">
        <v>2155.39</v>
      </c>
      <c r="H240" s="18">
        <f>26990.03+573985</f>
        <v>600975.03</v>
      </c>
      <c r="I240" s="18"/>
      <c r="J240" s="18"/>
      <c r="K240" s="18">
        <v>8070.6</v>
      </c>
      <c r="L240" s="19">
        <f t="shared" si="4"/>
        <v>639376.02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622569.51</v>
      </c>
      <c r="G241" s="18">
        <f>281693.38+9855.31</f>
        <v>291548.69</v>
      </c>
      <c r="H241" s="18">
        <v>102208.57</v>
      </c>
      <c r="I241" s="18">
        <v>18103.75</v>
      </c>
      <c r="J241" s="18"/>
      <c r="K241" s="18">
        <f>32323.13-249.16</f>
        <v>32073.97</v>
      </c>
      <c r="L241" s="19">
        <f t="shared" si="4"/>
        <v>1066504.49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 t="s">
        <v>287</v>
      </c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713210.76+812.42+574.98</f>
        <v>714598.16</v>
      </c>
      <c r="G243" s="18">
        <v>329178.14</v>
      </c>
      <c r="H243" s="18">
        <f>330050.61+233819.39+17440.12</f>
        <v>581310.12</v>
      </c>
      <c r="I243" s="18">
        <v>478107.61</v>
      </c>
      <c r="J243" s="18">
        <f>63764.85+2895.06</f>
        <v>66659.91</v>
      </c>
      <c r="K243" s="18">
        <v>3892.8</v>
      </c>
      <c r="L243" s="19">
        <f t="shared" si="4"/>
        <v>2173746.7399999998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495711.05+147025.58+76915.72+51683.93</f>
        <v>771336.28</v>
      </c>
      <c r="I244" s="18"/>
      <c r="J244" s="18"/>
      <c r="K244" s="18"/>
      <c r="L244" s="19">
        <f t="shared" si="4"/>
        <v>771336.28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v>836</v>
      </c>
      <c r="L245" s="19">
        <f>SUM(F245:K245)</f>
        <v>836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10829854.34</v>
      </c>
      <c r="G247" s="41">
        <f t="shared" si="5"/>
        <v>4691631.4399999995</v>
      </c>
      <c r="H247" s="41">
        <f t="shared" si="5"/>
        <v>3494295.96</v>
      </c>
      <c r="I247" s="41">
        <f t="shared" si="5"/>
        <v>879586.22</v>
      </c>
      <c r="J247" s="41">
        <f t="shared" si="5"/>
        <v>391158.56999999995</v>
      </c>
      <c r="K247" s="41">
        <f t="shared" si="5"/>
        <v>73880.490000000005</v>
      </c>
      <c r="L247" s="41">
        <f t="shared" si="5"/>
        <v>20360407.02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99578.33</v>
      </c>
      <c r="G251" s="18">
        <v>8004.17</v>
      </c>
      <c r="H251" s="18"/>
      <c r="I251" s="18">
        <v>1759.43</v>
      </c>
      <c r="J251" s="18"/>
      <c r="K251" s="18">
        <v>120</v>
      </c>
      <c r="L251" s="19">
        <f t="shared" si="6"/>
        <v>109461.93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35141.12+92315</f>
        <v>127456.12</v>
      </c>
      <c r="I255" s="18"/>
      <c r="J255" s="18"/>
      <c r="K255" s="18"/>
      <c r="L255" s="19">
        <f t="shared" si="6"/>
        <v>127456.12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99578.33</v>
      </c>
      <c r="G256" s="41">
        <f t="shared" si="7"/>
        <v>8004.17</v>
      </c>
      <c r="H256" s="41">
        <f t="shared" si="7"/>
        <v>127456.12</v>
      </c>
      <c r="I256" s="41">
        <f t="shared" si="7"/>
        <v>1759.43</v>
      </c>
      <c r="J256" s="41">
        <f t="shared" si="7"/>
        <v>0</v>
      </c>
      <c r="K256" s="41">
        <f t="shared" si="7"/>
        <v>120</v>
      </c>
      <c r="L256" s="41">
        <f>SUM(F256:K256)</f>
        <v>236918.05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10929432.67</v>
      </c>
      <c r="G257" s="41">
        <f t="shared" si="8"/>
        <v>4699635.6099999994</v>
      </c>
      <c r="H257" s="41">
        <f t="shared" si="8"/>
        <v>3621752.08</v>
      </c>
      <c r="I257" s="41">
        <f t="shared" si="8"/>
        <v>881345.65</v>
      </c>
      <c r="J257" s="41">
        <f t="shared" si="8"/>
        <v>391158.56999999995</v>
      </c>
      <c r="K257" s="41">
        <f t="shared" si="8"/>
        <v>74000.490000000005</v>
      </c>
      <c r="L257" s="41">
        <f t="shared" si="8"/>
        <v>20597325.07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1255000</v>
      </c>
      <c r="L260" s="19">
        <f>SUM(F260:K260)</f>
        <v>1255000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708293.5</v>
      </c>
      <c r="L261" s="19">
        <f>SUM(F261:K261)</f>
        <v>708293.5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58150</v>
      </c>
      <c r="L263" s="19">
        <f>SUM(F263:K263)</f>
        <v>58150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2021443.5</v>
      </c>
      <c r="L270" s="41">
        <f t="shared" si="9"/>
        <v>2021443.5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10929432.67</v>
      </c>
      <c r="G271" s="42">
        <f t="shared" si="11"/>
        <v>4699635.6099999994</v>
      </c>
      <c r="H271" s="42">
        <f t="shared" si="11"/>
        <v>3621752.08</v>
      </c>
      <c r="I271" s="42">
        <f t="shared" si="11"/>
        <v>881345.65</v>
      </c>
      <c r="J271" s="42">
        <f t="shared" si="11"/>
        <v>391158.56999999995</v>
      </c>
      <c r="K271" s="42">
        <f t="shared" si="11"/>
        <v>2095443.99</v>
      </c>
      <c r="L271" s="42">
        <f t="shared" si="11"/>
        <v>22618768.57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142756.34</v>
      </c>
      <c r="G314" s="18">
        <v>29062.98</v>
      </c>
      <c r="H314" s="18"/>
      <c r="I314" s="18">
        <v>195.18</v>
      </c>
      <c r="J314" s="18"/>
      <c r="K314" s="18">
        <v>1599.9</v>
      </c>
      <c r="L314" s="19">
        <f>SUM(F314:K314)</f>
        <v>173614.4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37839.14</v>
      </c>
      <c r="G315" s="18">
        <v>10132.91</v>
      </c>
      <c r="H315" s="18">
        <v>170751.6</v>
      </c>
      <c r="I315" s="18">
        <v>5299.03</v>
      </c>
      <c r="J315" s="18">
        <v>1624</v>
      </c>
      <c r="K315" s="18">
        <v>1194</v>
      </c>
      <c r="L315" s="19">
        <f>SUM(F315:K315)</f>
        <v>226840.68000000002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40762.5</v>
      </c>
      <c r="G320" s="18">
        <v>10010.08</v>
      </c>
      <c r="H320" s="18"/>
      <c r="I320" s="18">
        <v>372.65</v>
      </c>
      <c r="J320" s="18"/>
      <c r="K320" s="18">
        <f>4590.07+962.36+1956.06+758.3</f>
        <v>8266.7899999999991</v>
      </c>
      <c r="L320" s="19">
        <f t="shared" si="16"/>
        <v>59412.020000000004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3800</v>
      </c>
      <c r="G321" s="18">
        <v>9418.41</v>
      </c>
      <c r="H321" s="18"/>
      <c r="I321" s="18"/>
      <c r="J321" s="18"/>
      <c r="K321" s="18"/>
      <c r="L321" s="19">
        <f t="shared" si="16"/>
        <v>13218.41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225157.97999999998</v>
      </c>
      <c r="G328" s="42">
        <f t="shared" si="17"/>
        <v>58624.380000000005</v>
      </c>
      <c r="H328" s="42">
        <f t="shared" si="17"/>
        <v>170751.6</v>
      </c>
      <c r="I328" s="42">
        <f t="shared" si="17"/>
        <v>5866.86</v>
      </c>
      <c r="J328" s="42">
        <f t="shared" si="17"/>
        <v>1624</v>
      </c>
      <c r="K328" s="42">
        <f t="shared" si="17"/>
        <v>11060.689999999999</v>
      </c>
      <c r="L328" s="41">
        <f t="shared" si="17"/>
        <v>473085.51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55989.5</v>
      </c>
      <c r="G333" s="18">
        <v>677.22</v>
      </c>
      <c r="H333" s="18"/>
      <c r="I333" s="18">
        <v>1038.8599999999999</v>
      </c>
      <c r="J333" s="18"/>
      <c r="K333" s="18"/>
      <c r="L333" s="19">
        <f t="shared" si="18"/>
        <v>57705.58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55989.5</v>
      </c>
      <c r="G337" s="41">
        <f t="shared" si="19"/>
        <v>677.22</v>
      </c>
      <c r="H337" s="41">
        <f t="shared" si="19"/>
        <v>0</v>
      </c>
      <c r="I337" s="41">
        <f t="shared" si="19"/>
        <v>1038.8599999999999</v>
      </c>
      <c r="J337" s="41">
        <f t="shared" si="19"/>
        <v>0</v>
      </c>
      <c r="K337" s="41">
        <f t="shared" si="19"/>
        <v>0</v>
      </c>
      <c r="L337" s="41">
        <f t="shared" si="18"/>
        <v>57705.58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281147.48</v>
      </c>
      <c r="G338" s="41">
        <f t="shared" si="20"/>
        <v>59301.600000000006</v>
      </c>
      <c r="H338" s="41">
        <f t="shared" si="20"/>
        <v>170751.6</v>
      </c>
      <c r="I338" s="41">
        <f t="shared" si="20"/>
        <v>6905.7199999999993</v>
      </c>
      <c r="J338" s="41">
        <f t="shared" si="20"/>
        <v>1624</v>
      </c>
      <c r="K338" s="41">
        <f t="shared" si="20"/>
        <v>11060.689999999999</v>
      </c>
      <c r="L338" s="41">
        <f t="shared" si="20"/>
        <v>530791.09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281147.48</v>
      </c>
      <c r="G352" s="41">
        <f>G338</f>
        <v>59301.600000000006</v>
      </c>
      <c r="H352" s="41">
        <f>H338</f>
        <v>170751.6</v>
      </c>
      <c r="I352" s="41">
        <f>I338</f>
        <v>6905.7199999999993</v>
      </c>
      <c r="J352" s="41">
        <f>J338</f>
        <v>1624</v>
      </c>
      <c r="K352" s="47">
        <f>K338+K351</f>
        <v>11060.689999999999</v>
      </c>
      <c r="L352" s="41">
        <f>L338+L351</f>
        <v>530791.09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51714+211031.38+1067.49</f>
        <v>263812.87</v>
      </c>
      <c r="G360" s="18"/>
      <c r="H360" s="18">
        <f>980+10129.26</f>
        <v>11109.26</v>
      </c>
      <c r="I360" s="18">
        <f>19158.5+281301.56+13588.59-348.48</f>
        <v>313700.17000000004</v>
      </c>
      <c r="J360" s="18">
        <v>13561.72</v>
      </c>
      <c r="K360" s="18">
        <v>1597.17</v>
      </c>
      <c r="L360" s="19">
        <f>SUM(F360:K360)</f>
        <v>603781.19000000006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263812.87</v>
      </c>
      <c r="G362" s="47">
        <f t="shared" si="22"/>
        <v>0</v>
      </c>
      <c r="H362" s="47">
        <f t="shared" si="22"/>
        <v>11109.26</v>
      </c>
      <c r="I362" s="47">
        <f t="shared" si="22"/>
        <v>313700.17000000004</v>
      </c>
      <c r="J362" s="47">
        <f t="shared" si="22"/>
        <v>13561.72</v>
      </c>
      <c r="K362" s="47">
        <f t="shared" si="22"/>
        <v>1597.17</v>
      </c>
      <c r="L362" s="47">
        <f t="shared" si="22"/>
        <v>603781.19000000006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f>281301.56+13588.59-348.48</f>
        <v>294541.67000000004</v>
      </c>
      <c r="I367" s="56">
        <f>SUM(F367:H367)</f>
        <v>294541.67000000004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19158.5</v>
      </c>
      <c r="I368" s="56">
        <f>SUM(F368:H368)</f>
        <v>19158.5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313700.17000000004</v>
      </c>
      <c r="I369" s="47">
        <f>SUM(I367:I368)</f>
        <v>313700.17000000004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339.56+3988.43+2764.17</f>
        <v>7092.16</v>
      </c>
      <c r="I396" s="18"/>
      <c r="J396" s="24" t="s">
        <v>289</v>
      </c>
      <c r="K396" s="24" t="s">
        <v>289</v>
      </c>
      <c r="L396" s="56">
        <f t="shared" si="26"/>
        <v>7092.16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433.28+5111.18+3459.54</f>
        <v>9004</v>
      </c>
      <c r="I397" s="18"/>
      <c r="J397" s="24" t="s">
        <v>289</v>
      </c>
      <c r="K397" s="24" t="s">
        <v>289</v>
      </c>
      <c r="L397" s="56">
        <f t="shared" si="26"/>
        <v>9004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f>6.57+76.7+59.61</f>
        <v>142.88</v>
      </c>
      <c r="I399" s="18"/>
      <c r="J399" s="24" t="s">
        <v>289</v>
      </c>
      <c r="K399" s="24" t="s">
        <v>289</v>
      </c>
      <c r="L399" s="56">
        <f t="shared" si="26"/>
        <v>142.88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16239.039999999999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16239.039999999999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16239.039999999999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16239.039999999999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41216</v>
      </c>
      <c r="L426" s="56">
        <f t="shared" si="29"/>
        <v>41216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41216</v>
      </c>
      <c r="L427" s="47">
        <f t="shared" si="30"/>
        <v>41216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41216</v>
      </c>
      <c r="L434" s="47">
        <f t="shared" si="32"/>
        <v>41216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541208.54</v>
      </c>
      <c r="H440" s="18"/>
      <c r="I440" s="56">
        <f t="shared" si="33"/>
        <v>541208.54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541208.54</v>
      </c>
      <c r="H446" s="13">
        <f>SUM(H439:H445)</f>
        <v>0</v>
      </c>
      <c r="I446" s="13">
        <f>SUM(I439:I445)</f>
        <v>541208.54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541208.54</v>
      </c>
      <c r="H459" s="18"/>
      <c r="I459" s="56">
        <f t="shared" si="34"/>
        <v>541208.54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541208.54</v>
      </c>
      <c r="H460" s="83">
        <f>SUM(H454:H459)</f>
        <v>0</v>
      </c>
      <c r="I460" s="83">
        <f>SUM(I454:I459)</f>
        <v>541208.54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541208.54</v>
      </c>
      <c r="H461" s="42">
        <f>H452+H460</f>
        <v>0</v>
      </c>
      <c r="I461" s="42">
        <f>I452+I460</f>
        <v>541208.54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952234-4423.25</f>
        <v>947810.75</v>
      </c>
      <c r="G465" s="18">
        <v>56788.37</v>
      </c>
      <c r="H465" s="18">
        <v>0</v>
      </c>
      <c r="I465" s="18"/>
      <c r="J465" s="18">
        <v>566185.5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22496770.620000001</v>
      </c>
      <c r="G468" s="18">
        <v>551908.48</v>
      </c>
      <c r="H468" s="18">
        <v>530791.09</v>
      </c>
      <c r="I468" s="18"/>
      <c r="J468" s="18">
        <v>16239.04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22496770.620000001</v>
      </c>
      <c r="G470" s="53">
        <f>SUM(G468:G469)</f>
        <v>551908.48</v>
      </c>
      <c r="H470" s="53">
        <f>SUM(H468:H469)</f>
        <v>530791.09</v>
      </c>
      <c r="I470" s="53">
        <f>SUM(I468:I469)</f>
        <v>0</v>
      </c>
      <c r="J470" s="53">
        <f>SUM(J468:J469)</f>
        <v>16239.04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22618768.57</v>
      </c>
      <c r="G472" s="18">
        <v>603781.18999999994</v>
      </c>
      <c r="H472" s="18">
        <v>530791.09</v>
      </c>
      <c r="I472" s="18"/>
      <c r="J472" s="18">
        <v>41216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22618768.57</v>
      </c>
      <c r="G474" s="53">
        <f>SUM(G472:G473)</f>
        <v>603781.18999999994</v>
      </c>
      <c r="H474" s="53">
        <f>SUM(H472:H473)</f>
        <v>530791.09</v>
      </c>
      <c r="I474" s="53">
        <f>SUM(I472:I473)</f>
        <v>0</v>
      </c>
      <c r="J474" s="53">
        <f>SUM(J472:J473)</f>
        <v>41216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825812.80000000075</v>
      </c>
      <c r="G476" s="53">
        <f>(G465+G470)- G474</f>
        <v>4915.6600000000326</v>
      </c>
      <c r="H476" s="53">
        <f>(H465+H470)- H474</f>
        <v>0</v>
      </c>
      <c r="I476" s="53">
        <f>(I465+I470)- I474</f>
        <v>0</v>
      </c>
      <c r="J476" s="53">
        <f>(J465+J470)- J474</f>
        <v>541208.54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25484800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15835000</v>
      </c>
      <c r="G495" s="18"/>
      <c r="H495" s="18"/>
      <c r="I495" s="18"/>
      <c r="J495" s="18"/>
      <c r="K495" s="53">
        <f>SUM(F495:J495)</f>
        <v>15835000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1963293.5</v>
      </c>
      <c r="G497" s="18"/>
      <c r="H497" s="18"/>
      <c r="I497" s="18"/>
      <c r="J497" s="18"/>
      <c r="K497" s="53">
        <f t="shared" si="35"/>
        <v>1963293.5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14580000</v>
      </c>
      <c r="G498" s="204"/>
      <c r="H498" s="204"/>
      <c r="I498" s="204"/>
      <c r="J498" s="204"/>
      <c r="K498" s="205">
        <f t="shared" si="35"/>
        <v>14580000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3178365.25</v>
      </c>
      <c r="G499" s="18"/>
      <c r="H499" s="18"/>
      <c r="I499" s="18"/>
      <c r="J499" s="18"/>
      <c r="K499" s="53">
        <f t="shared" si="35"/>
        <v>3178365.25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17758365.25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17758365.25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1320000</v>
      </c>
      <c r="G501" s="204"/>
      <c r="H501" s="204"/>
      <c r="I501" s="204"/>
      <c r="J501" s="204"/>
      <c r="K501" s="205">
        <f t="shared" si="35"/>
        <v>1320000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360581.25+327581.25-24244-30000</f>
        <v>633918.5</v>
      </c>
      <c r="G502" s="18"/>
      <c r="H502" s="18"/>
      <c r="I502" s="18"/>
      <c r="J502" s="18"/>
      <c r="K502" s="53">
        <f t="shared" si="35"/>
        <v>633918.5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1953918.5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1953918.5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818260.91+276613.29+275+37839.14</f>
        <v>1132988.3399999999</v>
      </c>
      <c r="G523" s="18">
        <f>296647.13+172182.4+10132.91</f>
        <v>478962.44</v>
      </c>
      <c r="H523" s="18">
        <f>990319.69-10378.62+170751.6</f>
        <v>1150692.67</v>
      </c>
      <c r="I523" s="18">
        <f>3723.23+5299.03</f>
        <v>9022.26</v>
      </c>
      <c r="J523" s="18">
        <f>1053.06+1624</f>
        <v>2677.06</v>
      </c>
      <c r="K523" s="18"/>
      <c r="L523" s="88">
        <f>SUM(F523:K523)</f>
        <v>2774342.7699999996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1132988.3399999999</v>
      </c>
      <c r="G524" s="108">
        <f t="shared" ref="G524:L524" si="36">SUM(G521:G523)</f>
        <v>478962.44</v>
      </c>
      <c r="H524" s="108">
        <f t="shared" si="36"/>
        <v>1150692.67</v>
      </c>
      <c r="I524" s="108">
        <f t="shared" si="36"/>
        <v>9022.26</v>
      </c>
      <c r="J524" s="108">
        <f t="shared" si="36"/>
        <v>2677.06</v>
      </c>
      <c r="K524" s="108">
        <f t="shared" si="36"/>
        <v>0</v>
      </c>
      <c r="L524" s="89">
        <f t="shared" si="36"/>
        <v>2774342.7699999996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318121.03000000003</v>
      </c>
      <c r="G528" s="18">
        <v>128664.57</v>
      </c>
      <c r="H528" s="18"/>
      <c r="I528" s="18"/>
      <c r="J528" s="18"/>
      <c r="K528" s="18"/>
      <c r="L528" s="88">
        <f>SUM(F528:K528)</f>
        <v>446785.60000000003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318121.03000000003</v>
      </c>
      <c r="G529" s="89">
        <f t="shared" ref="G529:L529" si="37">SUM(G526:G528)</f>
        <v>128664.57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446785.60000000003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122211+47306.77</f>
        <v>169517.77</v>
      </c>
      <c r="G533" s="18">
        <f>38227.41+31633.82</f>
        <v>69861.23000000001</v>
      </c>
      <c r="H533" s="18"/>
      <c r="I533" s="18"/>
      <c r="J533" s="18"/>
      <c r="K533" s="18">
        <f>780+1194</f>
        <v>1974</v>
      </c>
      <c r="L533" s="88">
        <f>SUM(F533:K533)</f>
        <v>241353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169517.77</v>
      </c>
      <c r="G534" s="89">
        <f t="shared" ref="G534:L534" si="38">SUM(G531:G533)</f>
        <v>69861.23000000001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1974</v>
      </c>
      <c r="L534" s="89">
        <f t="shared" si="38"/>
        <v>241353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10378.620000000001</v>
      </c>
      <c r="I538" s="18"/>
      <c r="J538" s="18"/>
      <c r="K538" s="18"/>
      <c r="L538" s="88">
        <f>SUM(F538:K538)</f>
        <v>10378.620000000001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10378.620000000001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10378.620000000001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147025.57999999999</v>
      </c>
      <c r="I541" s="18"/>
      <c r="J541" s="18"/>
      <c r="K541" s="18"/>
      <c r="L541" s="88">
        <f>SUM(F541:K541)</f>
        <v>147025.57999999999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147025.57999999999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147025.57999999999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1620627.14</v>
      </c>
      <c r="G545" s="89">
        <f t="shared" ref="G545:L545" si="41">G524+G529+G534+G539+G544</f>
        <v>677488.24</v>
      </c>
      <c r="H545" s="89">
        <f t="shared" si="41"/>
        <v>1308096.8700000001</v>
      </c>
      <c r="I545" s="89">
        <f t="shared" si="41"/>
        <v>9022.26</v>
      </c>
      <c r="J545" s="89">
        <f t="shared" si="41"/>
        <v>2677.06</v>
      </c>
      <c r="K545" s="89">
        <f t="shared" si="41"/>
        <v>1974</v>
      </c>
      <c r="L545" s="89">
        <f t="shared" si="41"/>
        <v>3619885.57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147025.57999999999</v>
      </c>
      <c r="K549" s="87">
        <f>SUM(F549:J549)</f>
        <v>147025.57999999999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2774342.7699999996</v>
      </c>
      <c r="G551" s="87">
        <f>L528</f>
        <v>446785.60000000003</v>
      </c>
      <c r="H551" s="87">
        <f>L533</f>
        <v>241353</v>
      </c>
      <c r="I551" s="87">
        <f>L538</f>
        <v>10378.620000000001</v>
      </c>
      <c r="J551" s="87">
        <f>L543</f>
        <v>0</v>
      </c>
      <c r="K551" s="87">
        <f>SUM(F551:J551)</f>
        <v>3472859.9899999998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2774342.7699999996</v>
      </c>
      <c r="G552" s="89">
        <f t="shared" si="42"/>
        <v>446785.60000000003</v>
      </c>
      <c r="H552" s="89">
        <f t="shared" si="42"/>
        <v>241353</v>
      </c>
      <c r="I552" s="89">
        <f t="shared" si="42"/>
        <v>10378.620000000001</v>
      </c>
      <c r="J552" s="89">
        <f t="shared" si="42"/>
        <v>147025.57999999999</v>
      </c>
      <c r="K552" s="89">
        <f t="shared" si="42"/>
        <v>3619885.57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54235.24</v>
      </c>
      <c r="I579" s="87">
        <f t="shared" si="47"/>
        <v>54235.24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450638.37</v>
      </c>
      <c r="I582" s="87">
        <f t="shared" si="47"/>
        <v>450638.37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390437.27</v>
      </c>
      <c r="I583" s="87">
        <f t="shared" si="47"/>
        <v>390437.27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150790</v>
      </c>
      <c r="I584" s="87">
        <f t="shared" si="47"/>
        <v>150790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f>495711.05-49571.1</f>
        <v>446139.95</v>
      </c>
      <c r="K591" s="104">
        <f t="shared" ref="K591:K597" si="48">SUM(H591:J591)</f>
        <v>446139.95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147025.57999999999</v>
      </c>
      <c r="K592" s="104">
        <f t="shared" si="48"/>
        <v>147025.57999999999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49571.1</v>
      </c>
      <c r="K593" s="104">
        <f t="shared" si="48"/>
        <v>49571.1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76915.72</v>
      </c>
      <c r="K594" s="104">
        <f t="shared" si="48"/>
        <v>76915.72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51683.93</v>
      </c>
      <c r="K597" s="104">
        <f t="shared" si="48"/>
        <v>51683.93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771336.28</v>
      </c>
      <c r="K598" s="108">
        <f>SUM(K591:K597)</f>
        <v>771336.28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21009.07</v>
      </c>
      <c r="K602" s="104">
        <f>SUM(H602:J602)</f>
        <v>21009.07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f>1624+370149.5</f>
        <v>371773.5</v>
      </c>
      <c r="K604" s="104">
        <f>SUM(H604:J604)</f>
        <v>371773.5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392782.57</v>
      </c>
      <c r="K605" s="108">
        <f>SUM(K602:K604)</f>
        <v>392782.57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55544</v>
      </c>
      <c r="G613" s="18"/>
      <c r="H613" s="18"/>
      <c r="I613" s="18">
        <v>8515.7900000000009</v>
      </c>
      <c r="J613" s="18"/>
      <c r="K613" s="18"/>
      <c r="L613" s="88">
        <f>SUM(F613:K613)</f>
        <v>64059.79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55544</v>
      </c>
      <c r="G614" s="108">
        <f t="shared" si="49"/>
        <v>0</v>
      </c>
      <c r="H614" s="108">
        <f t="shared" si="49"/>
        <v>0</v>
      </c>
      <c r="I614" s="108">
        <f t="shared" si="49"/>
        <v>8515.7900000000009</v>
      </c>
      <c r="J614" s="108">
        <f t="shared" si="49"/>
        <v>0</v>
      </c>
      <c r="K614" s="108">
        <f t="shared" si="49"/>
        <v>0</v>
      </c>
      <c r="L614" s="89">
        <f t="shared" si="49"/>
        <v>64059.79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1548088.5400000003</v>
      </c>
      <c r="H617" s="109">
        <f>SUM(F52)</f>
        <v>1548088.54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14100.150000000001</v>
      </c>
      <c r="H618" s="109">
        <f>SUM(G52)</f>
        <v>14100.15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50134.559999999998</v>
      </c>
      <c r="H619" s="109">
        <f>SUM(H52)</f>
        <v>50134.559999999998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541208.54</v>
      </c>
      <c r="H621" s="109">
        <f>SUM(J52)</f>
        <v>541208.54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825812.79999999993</v>
      </c>
      <c r="H622" s="109">
        <f>F476</f>
        <v>825812.80000000075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4915.66</v>
      </c>
      <c r="H623" s="109">
        <f>G476</f>
        <v>4915.6600000000326</v>
      </c>
      <c r="I623" s="121" t="s">
        <v>102</v>
      </c>
      <c r="J623" s="109">
        <f t="shared" si="50"/>
        <v>-3.2741809263825417E-11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541208.54</v>
      </c>
      <c r="H626" s="109">
        <f>J476</f>
        <v>541208.54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22496770.620000001</v>
      </c>
      <c r="H627" s="104">
        <f>SUM(F468)</f>
        <v>22496770.620000001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551908.48</v>
      </c>
      <c r="H628" s="104">
        <f>SUM(G468)</f>
        <v>551908.48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530791.09000000008</v>
      </c>
      <c r="H629" s="104">
        <f>SUM(H468)</f>
        <v>530791.09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16239.039999999999</v>
      </c>
      <c r="H631" s="104">
        <f>SUM(J468)</f>
        <v>16239.04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22618768.57</v>
      </c>
      <c r="H632" s="104">
        <f>SUM(F472)</f>
        <v>22618768.57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530791.09</v>
      </c>
      <c r="H633" s="104">
        <f>SUM(H472)</f>
        <v>530791.09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313700.17000000004</v>
      </c>
      <c r="H634" s="104">
        <f>I369</f>
        <v>313700.17000000004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603781.19000000006</v>
      </c>
      <c r="H635" s="104">
        <f>SUM(G472)</f>
        <v>603781.18999999994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16239.039999999999</v>
      </c>
      <c r="H637" s="164">
        <f>SUM(J468)</f>
        <v>16239.04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41216</v>
      </c>
      <c r="H638" s="164">
        <f>SUM(J472)</f>
        <v>41216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541208.54</v>
      </c>
      <c r="H640" s="104">
        <f>SUM(G461)</f>
        <v>541208.54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541208.54</v>
      </c>
      <c r="H642" s="104">
        <f>SUM(I461)</f>
        <v>541208.54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16239.039999999999</v>
      </c>
      <c r="H644" s="104">
        <f>H408</f>
        <v>16239.039999999999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16239.039999999999</v>
      </c>
      <c r="H646" s="104">
        <f>L408</f>
        <v>16239.039999999999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771336.28</v>
      </c>
      <c r="H647" s="104">
        <f>L208+L226+L244</f>
        <v>771336.28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392782.57</v>
      </c>
      <c r="H648" s="104">
        <f>(J257+J338)-(J255+J336)</f>
        <v>392782.56999999995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771336.28</v>
      </c>
      <c r="H651" s="104">
        <f>J598</f>
        <v>771336.28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58150</v>
      </c>
      <c r="H652" s="104">
        <f>K263+K345</f>
        <v>58150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21437273.720000003</v>
      </c>
      <c r="I660" s="19">
        <f>SUM(F660:H660)</f>
        <v>21437273.720000003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364167.17</v>
      </c>
      <c r="I661" s="19">
        <f>SUM(F661:H661)</f>
        <v>364167.17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771336.28</v>
      </c>
      <c r="I662" s="19">
        <f>SUM(F662:H662)</f>
        <v>771336.28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1502943.24</v>
      </c>
      <c r="I663" s="19">
        <f>SUM(F663:H663)</f>
        <v>1502943.24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18798827.030000001</v>
      </c>
      <c r="I664" s="19">
        <f>I660-SUM(I661:I663)</f>
        <v>18798827.030000001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1072.8599999999999</v>
      </c>
      <c r="I665" s="19">
        <f>SUM(F665:H665)</f>
        <v>1072.8599999999999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17522.16</v>
      </c>
      <c r="I667" s="19">
        <f>ROUND(I664/I665,2)</f>
        <v>17522.16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-25.17</v>
      </c>
      <c r="I670" s="19">
        <f>SUM(F670:H670)</f>
        <v>-25.17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17943.12</v>
      </c>
      <c r="I672" s="19">
        <f>ROUND((I664+I669)/(I665+I670),2)</f>
        <v>17943.12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Normal="100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WINNACUNNET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6159101.3300000001</v>
      </c>
      <c r="C9" s="229">
        <f>'DOE25'!G197+'DOE25'!G215+'DOE25'!G233+'DOE25'!G276+'DOE25'!G295+'DOE25'!G314</f>
        <v>2615877.09</v>
      </c>
    </row>
    <row r="10" spans="1:3" x14ac:dyDescent="0.2">
      <c r="A10" t="s">
        <v>779</v>
      </c>
      <c r="B10" s="240">
        <f>142756.34+5730829.43</f>
        <v>5873585.7699999996</v>
      </c>
      <c r="C10" s="240">
        <f>2543105.15+29062.98</f>
        <v>2572168.13</v>
      </c>
    </row>
    <row r="11" spans="1:3" x14ac:dyDescent="0.2">
      <c r="A11" t="s">
        <v>780</v>
      </c>
      <c r="B11" s="240">
        <f>51973.65</f>
        <v>51973.65</v>
      </c>
      <c r="C11" s="240">
        <v>10310.01</v>
      </c>
    </row>
    <row r="12" spans="1:3" x14ac:dyDescent="0.2">
      <c r="A12" t="s">
        <v>781</v>
      </c>
      <c r="B12" s="240">
        <f>86496.77+33187.63+14162.09+99695.42</f>
        <v>233541.90999999997</v>
      </c>
      <c r="C12" s="240">
        <f>17314.36+6583.43+1226.44+8274.72</f>
        <v>33398.949999999997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6159101.3300000001</v>
      </c>
      <c r="C13" s="231">
        <f>SUM(C10:C12)</f>
        <v>2615877.09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1620627.14</v>
      </c>
      <c r="C18" s="229">
        <f>'DOE25'!G198+'DOE25'!G216+'DOE25'!G234+'DOE25'!G277+'DOE25'!G296+'DOE25'!G315</f>
        <v>677488.24</v>
      </c>
    </row>
    <row r="19" spans="1:3" x14ac:dyDescent="0.2">
      <c r="A19" t="s">
        <v>779</v>
      </c>
      <c r="B19" s="240">
        <f>12470+350+818260.91+318121.03</f>
        <v>1149201.94</v>
      </c>
      <c r="C19" s="240">
        <f>296647.13+128664.57+26.78+1760.08+291.61+48+125.2+131.21+164.95+953.95</f>
        <v>428813.4800000001</v>
      </c>
    </row>
    <row r="20" spans="1:3" x14ac:dyDescent="0.2">
      <c r="A20" t="s">
        <v>780</v>
      </c>
      <c r="B20" s="240">
        <f>25019.14+276613.29+275</f>
        <v>301907.43</v>
      </c>
      <c r="C20" s="240">
        <f>172182.4+1882.44+4748.69</f>
        <v>178813.53</v>
      </c>
    </row>
    <row r="21" spans="1:3" x14ac:dyDescent="0.2">
      <c r="A21" t="s">
        <v>781</v>
      </c>
      <c r="B21" s="240">
        <f>122211+47306.77</f>
        <v>169517.77</v>
      </c>
      <c r="C21" s="240">
        <f>38227.41+31633.82</f>
        <v>69861.23000000001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1620627.14</v>
      </c>
      <c r="C22" s="231">
        <f>SUM(C19:C21)</f>
        <v>677488.24000000011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481747.77</v>
      </c>
      <c r="C36" s="235">
        <f>'DOE25'!G200+'DOE25'!G218+'DOE25'!G236+'DOE25'!G279+'DOE25'!G298+'DOE25'!G317</f>
        <v>130079.51</v>
      </c>
    </row>
    <row r="37" spans="1:3" x14ac:dyDescent="0.2">
      <c r="A37" t="s">
        <v>779</v>
      </c>
      <c r="B37" s="240">
        <v>55544</v>
      </c>
      <c r="C37" s="240">
        <v>4249.12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426203.77</f>
        <v>426203.77</v>
      </c>
      <c r="C39" s="240">
        <v>125830.39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481747.77</v>
      </c>
      <c r="C40" s="231">
        <f>SUM(C37:C39)</f>
        <v>130079.51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WINNACUNNET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13100569.24</v>
      </c>
      <c r="D5" s="20">
        <f>SUM('DOE25'!L197:L200)+SUM('DOE25'!L215:L218)+SUM('DOE25'!L233:L236)-F5-G5</f>
        <v>12960695.600000001</v>
      </c>
      <c r="E5" s="243"/>
      <c r="F5" s="255">
        <f>SUM('DOE25'!J197:J200)+SUM('DOE25'!J215:J218)+SUM('DOE25'!J233:J236)</f>
        <v>111320.51999999999</v>
      </c>
      <c r="G5" s="53">
        <f>SUM('DOE25'!K197:K200)+SUM('DOE25'!K215:K218)+SUM('DOE25'!K233:K236)</f>
        <v>28553.120000000003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1296750.27</v>
      </c>
      <c r="D6" s="20">
        <f>'DOE25'!L202+'DOE25'!L220+'DOE25'!L238-F6-G6</f>
        <v>1295296.32</v>
      </c>
      <c r="E6" s="243"/>
      <c r="F6" s="255">
        <f>'DOE25'!J202+'DOE25'!J220+'DOE25'!J238</f>
        <v>999.95</v>
      </c>
      <c r="G6" s="53">
        <f>'DOE25'!K202+'DOE25'!K220+'DOE25'!K238</f>
        <v>454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1311287.98</v>
      </c>
      <c r="D7" s="20">
        <f>'DOE25'!L203+'DOE25'!L221+'DOE25'!L239-F7-G7</f>
        <v>1099109.79</v>
      </c>
      <c r="E7" s="243"/>
      <c r="F7" s="255">
        <f>'DOE25'!J203+'DOE25'!J221+'DOE25'!J239</f>
        <v>212178.19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382828.81000000006</v>
      </c>
      <c r="D8" s="243"/>
      <c r="E8" s="20">
        <f>'DOE25'!L204+'DOE25'!L222+'DOE25'!L240-F8-G8-D9-D11</f>
        <v>374758.21000000008</v>
      </c>
      <c r="F8" s="255">
        <f>'DOE25'!J204+'DOE25'!J222+'DOE25'!J240</f>
        <v>0</v>
      </c>
      <c r="G8" s="53">
        <f>'DOE25'!K204+'DOE25'!K222+'DOE25'!K240</f>
        <v>8070.6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63235.63</v>
      </c>
      <c r="D9" s="244">
        <v>63235.63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11850</v>
      </c>
      <c r="D10" s="243"/>
      <c r="E10" s="244">
        <v>11850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193311.58</v>
      </c>
      <c r="D11" s="244">
        <v>193311.58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1066504.49</v>
      </c>
      <c r="D12" s="20">
        <f>'DOE25'!L205+'DOE25'!L223+'DOE25'!L241-F12-G12</f>
        <v>1034430.52</v>
      </c>
      <c r="E12" s="243"/>
      <c r="F12" s="255">
        <f>'DOE25'!J205+'DOE25'!J223+'DOE25'!J241</f>
        <v>0</v>
      </c>
      <c r="G12" s="53">
        <f>'DOE25'!K205+'DOE25'!K223+'DOE25'!K241</f>
        <v>32073.97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2173746.7399999998</v>
      </c>
      <c r="D14" s="20">
        <f>'DOE25'!L207+'DOE25'!L225+'DOE25'!L243-F14-G14</f>
        <v>2103194.0299999998</v>
      </c>
      <c r="E14" s="243"/>
      <c r="F14" s="255">
        <f>'DOE25'!J207+'DOE25'!J225+'DOE25'!J243</f>
        <v>66659.91</v>
      </c>
      <c r="G14" s="53">
        <f>'DOE25'!K207+'DOE25'!K225+'DOE25'!K243</f>
        <v>3892.8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771336.28</v>
      </c>
      <c r="D15" s="20">
        <f>'DOE25'!L208+'DOE25'!L226+'DOE25'!L244-F15-G15</f>
        <v>771336.28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836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836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109461.93</v>
      </c>
      <c r="D17" s="20">
        <f>'DOE25'!L251-F17-G17</f>
        <v>109341.93</v>
      </c>
      <c r="E17" s="243"/>
      <c r="F17" s="255">
        <f>'DOE25'!J251</f>
        <v>0</v>
      </c>
      <c r="G17" s="53">
        <f>'DOE25'!K251</f>
        <v>120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127456.12</v>
      </c>
      <c r="D22" s="243"/>
      <c r="E22" s="243"/>
      <c r="F22" s="255">
        <f>'DOE25'!L255+'DOE25'!L336</f>
        <v>127456.12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1963293.5</v>
      </c>
      <c r="D25" s="243"/>
      <c r="E25" s="243"/>
      <c r="F25" s="258"/>
      <c r="G25" s="256"/>
      <c r="H25" s="257">
        <f>'DOE25'!L260+'DOE25'!L261+'DOE25'!L341+'DOE25'!L342</f>
        <v>1963293.5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309239.52</v>
      </c>
      <c r="D29" s="20">
        <f>'DOE25'!L358+'DOE25'!L359+'DOE25'!L360-'DOE25'!I367-F29-G29</f>
        <v>294080.63000000006</v>
      </c>
      <c r="E29" s="243"/>
      <c r="F29" s="255">
        <f>'DOE25'!J358+'DOE25'!J359+'DOE25'!J360</f>
        <v>13561.72</v>
      </c>
      <c r="G29" s="53">
        <f>'DOE25'!K358+'DOE25'!K359+'DOE25'!K360</f>
        <v>1597.17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530791.09</v>
      </c>
      <c r="D31" s="20">
        <f>'DOE25'!L290+'DOE25'!L309+'DOE25'!L328+'DOE25'!L333+'DOE25'!L334+'DOE25'!L335-F31-G31</f>
        <v>518106.39999999997</v>
      </c>
      <c r="E31" s="243"/>
      <c r="F31" s="255">
        <f>'DOE25'!J290+'DOE25'!J309+'DOE25'!J328+'DOE25'!J333+'DOE25'!J334+'DOE25'!J335</f>
        <v>1624</v>
      </c>
      <c r="G31" s="53">
        <f>'DOE25'!K290+'DOE25'!K309+'DOE25'!K328+'DOE25'!K333+'DOE25'!K334+'DOE25'!K335</f>
        <v>11060.689999999999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20442138.710000001</v>
      </c>
      <c r="E33" s="246">
        <f>SUM(E5:E31)</f>
        <v>386608.21000000008</v>
      </c>
      <c r="F33" s="246">
        <f>SUM(F5:F31)</f>
        <v>533800.40999999992</v>
      </c>
      <c r="G33" s="246">
        <f>SUM(G5:G31)</f>
        <v>86658.35</v>
      </c>
      <c r="H33" s="246">
        <f>SUM(H5:H31)</f>
        <v>1963293.5</v>
      </c>
    </row>
    <row r="35" spans="2:8" ht="12" thickBot="1" x14ac:dyDescent="0.25">
      <c r="B35" s="253" t="s">
        <v>847</v>
      </c>
      <c r="D35" s="254">
        <f>E33</f>
        <v>386608.21000000008</v>
      </c>
      <c r="E35" s="249"/>
    </row>
    <row r="36" spans="2:8" ht="12" thickTop="1" x14ac:dyDescent="0.2">
      <c r="B36" t="s">
        <v>815</v>
      </c>
      <c r="D36" s="20">
        <f>D33</f>
        <v>20442138.710000001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1339632.03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34147.58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541208.54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44754.03</v>
      </c>
      <c r="D11" s="95">
        <f>'DOE25'!G12</f>
        <v>1703.81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101462.09</v>
      </c>
      <c r="D12" s="95">
        <f>'DOE25'!G13</f>
        <v>7320.39</v>
      </c>
      <c r="E12" s="95">
        <f>'DOE25'!H13</f>
        <v>50134.559999999998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22460.1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4875.95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5632.71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1548088.5400000003</v>
      </c>
      <c r="D18" s="41">
        <f>SUM(D8:D17)</f>
        <v>14100.150000000001</v>
      </c>
      <c r="E18" s="41">
        <f>SUM(E8:E17)</f>
        <v>50134.559999999998</v>
      </c>
      <c r="F18" s="41">
        <f>SUM(F8:F17)</f>
        <v>0</v>
      </c>
      <c r="G18" s="41">
        <f>SUM(G8:G17)</f>
        <v>541208.54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46457.84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111296.52</v>
      </c>
      <c r="D23" s="95">
        <f>'DOE25'!G24</f>
        <v>70.75</v>
      </c>
      <c r="E23" s="95">
        <f>'DOE25'!H24</f>
        <v>3676.72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19168.560000000001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16810.66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575000</v>
      </c>
      <c r="D29" s="95">
        <f>'DOE25'!G30</f>
        <v>9113.74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722275.74</v>
      </c>
      <c r="D31" s="41">
        <f>SUM(D21:D30)</f>
        <v>9184.49</v>
      </c>
      <c r="E31" s="41">
        <f>SUM(E21:E30)</f>
        <v>50134.559999999998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4875.95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5632.71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39.71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15246.59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541208.54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46641.27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758292.23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825812.79999999993</v>
      </c>
      <c r="D50" s="41">
        <f>SUM(D34:D49)</f>
        <v>4915.66</v>
      </c>
      <c r="E50" s="41">
        <f>SUM(E34:E49)</f>
        <v>0</v>
      </c>
      <c r="F50" s="41">
        <f>SUM(F34:F49)</f>
        <v>0</v>
      </c>
      <c r="G50" s="41">
        <f>SUM(G34:G49)</f>
        <v>541208.54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1548088.54</v>
      </c>
      <c r="D51" s="41">
        <f>D50+D31</f>
        <v>14100.15</v>
      </c>
      <c r="E51" s="41">
        <f>E50+E31</f>
        <v>50134.559999999998</v>
      </c>
      <c r="F51" s="41">
        <f>F50+F31</f>
        <v>0</v>
      </c>
      <c r="G51" s="41">
        <f>G50+G31</f>
        <v>541208.54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16053448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15129.05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760.44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16239.039999999999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364167.17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352945.08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368834.57</v>
      </c>
      <c r="D62" s="130">
        <f>SUM(D57:D61)</f>
        <v>364167.17</v>
      </c>
      <c r="E62" s="130">
        <f>SUM(E57:E61)</f>
        <v>0</v>
      </c>
      <c r="F62" s="130">
        <f>SUM(F57:F61)</f>
        <v>0</v>
      </c>
      <c r="G62" s="130">
        <f>SUM(G57:G61)</f>
        <v>16239.039999999999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16422282.57</v>
      </c>
      <c r="D63" s="22">
        <f>D56+D62</f>
        <v>364167.17</v>
      </c>
      <c r="E63" s="22">
        <f>E56+E62</f>
        <v>0</v>
      </c>
      <c r="F63" s="22">
        <f>F56+F62</f>
        <v>0</v>
      </c>
      <c r="G63" s="22">
        <f>G56+G62</f>
        <v>16239.039999999999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507431.97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4417546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4924977.97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687339.18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317473.81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13045.2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4425.45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1017858.19</v>
      </c>
      <c r="D78" s="130">
        <f>SUM(D72:D77)</f>
        <v>4425.45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5942836.1600000001</v>
      </c>
      <c r="D81" s="130">
        <f>SUM(D79:D80)+D78+D70</f>
        <v>4425.45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90435.89</v>
      </c>
      <c r="D88" s="95">
        <f>SUM('DOE25'!G153:G161)</f>
        <v>125165.86</v>
      </c>
      <c r="E88" s="95">
        <f>SUM('DOE25'!H153:H161)</f>
        <v>530791.09000000008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90435.89</v>
      </c>
      <c r="D91" s="131">
        <f>SUM(D85:D90)</f>
        <v>125165.86</v>
      </c>
      <c r="E91" s="131">
        <f>SUM(E85:E90)</f>
        <v>530791.09000000008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58150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41216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41216</v>
      </c>
      <c r="D103" s="86">
        <f>SUM(D93:D102)</f>
        <v>58150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22496770.620000001</v>
      </c>
      <c r="D104" s="86">
        <f>D63+D81+D91+D103</f>
        <v>551908.48</v>
      </c>
      <c r="E104" s="86">
        <f>E63+E81+E91+E103</f>
        <v>530791.09000000008</v>
      </c>
      <c r="F104" s="86">
        <f>F63+F81+F91+F103</f>
        <v>0</v>
      </c>
      <c r="G104" s="86">
        <f>G63+G81+G103</f>
        <v>16239.039999999999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8834276.879999999</v>
      </c>
      <c r="D109" s="24" t="s">
        <v>289</v>
      </c>
      <c r="E109" s="95">
        <f>('DOE25'!L276)+('DOE25'!L295)+('DOE25'!L314)</f>
        <v>173614.4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3246019.31</v>
      </c>
      <c r="D110" s="24" t="s">
        <v>289</v>
      </c>
      <c r="E110" s="95">
        <f>('DOE25'!L277)+('DOE25'!L296)+('DOE25'!L315)</f>
        <v>226840.68000000002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150790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869483.04999999993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109461.93</v>
      </c>
      <c r="D114" s="24" t="s">
        <v>289</v>
      </c>
      <c r="E114" s="95">
        <f>+ SUM('DOE25'!L333:L335)</f>
        <v>57705.58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13210031.17</v>
      </c>
      <c r="D115" s="86">
        <f>SUM(D109:D114)</f>
        <v>0</v>
      </c>
      <c r="E115" s="86">
        <f>SUM(E109:E114)</f>
        <v>458160.66000000003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1296750.27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1311287.98</v>
      </c>
      <c r="D119" s="24" t="s">
        <v>289</v>
      </c>
      <c r="E119" s="95">
        <f>+('DOE25'!L282)+('DOE25'!L301)+('DOE25'!L320)</f>
        <v>59412.020000000004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639376.02</v>
      </c>
      <c r="D120" s="24" t="s">
        <v>289</v>
      </c>
      <c r="E120" s="95">
        <f>+('DOE25'!L283)+('DOE25'!L302)+('DOE25'!L321)</f>
        <v>13218.41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1066504.49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2173746.7399999998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771336.28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836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603781.19000000006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7259837.7800000003</v>
      </c>
      <c r="D128" s="86">
        <f>SUM(D118:D127)</f>
        <v>603781.19000000006</v>
      </c>
      <c r="E128" s="86">
        <f>SUM(E118:E127)</f>
        <v>72630.430000000008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127456.12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1255000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708293.5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41216</v>
      </c>
    </row>
    <row r="135" spans="1:7" x14ac:dyDescent="0.2">
      <c r="A135" t="s">
        <v>233</v>
      </c>
      <c r="B135" s="32" t="s">
        <v>234</v>
      </c>
      <c r="C135" s="95">
        <f>'DOE25'!L263</f>
        <v>58150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16239.039999999999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-16239.039999999999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2148899.62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41216</v>
      </c>
    </row>
    <row r="145" spans="1:9" ht="12.75" thickTop="1" thickBot="1" x14ac:dyDescent="0.25">
      <c r="A145" s="33" t="s">
        <v>244</v>
      </c>
      <c r="C145" s="86">
        <f>(C115+C128+C144)</f>
        <v>22618768.57</v>
      </c>
      <c r="D145" s="86">
        <f>(D115+D128+D144)</f>
        <v>603781.19000000006</v>
      </c>
      <c r="E145" s="86">
        <f>(E115+E128+E144)</f>
        <v>530791.09000000008</v>
      </c>
      <c r="F145" s="86">
        <f>(F115+F128+F144)</f>
        <v>0</v>
      </c>
      <c r="G145" s="86">
        <f>(G115+G128+G144)</f>
        <v>41216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25484800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15835000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15835000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1963293.5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1963293.5</v>
      </c>
    </row>
    <row r="159" spans="1:9" x14ac:dyDescent="0.2">
      <c r="A159" s="22" t="s">
        <v>35</v>
      </c>
      <c r="B159" s="137">
        <f>'DOE25'!F498</f>
        <v>14580000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14580000</v>
      </c>
    </row>
    <row r="160" spans="1:9" x14ac:dyDescent="0.2">
      <c r="A160" s="22" t="s">
        <v>36</v>
      </c>
      <c r="B160" s="137">
        <f>'DOE25'!F499</f>
        <v>3178365.25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3178365.25</v>
      </c>
    </row>
    <row r="161" spans="1:7" x14ac:dyDescent="0.2">
      <c r="A161" s="22" t="s">
        <v>37</v>
      </c>
      <c r="B161" s="137">
        <f>'DOE25'!F500</f>
        <v>17758365.25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17758365.25</v>
      </c>
    </row>
    <row r="162" spans="1:7" x14ac:dyDescent="0.2">
      <c r="A162" s="22" t="s">
        <v>38</v>
      </c>
      <c r="B162" s="137">
        <f>'DOE25'!F501</f>
        <v>1320000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1320000</v>
      </c>
    </row>
    <row r="163" spans="1:7" x14ac:dyDescent="0.2">
      <c r="A163" s="22" t="s">
        <v>39</v>
      </c>
      <c r="B163" s="137">
        <f>'DOE25'!F502</f>
        <v>633918.5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633918.5</v>
      </c>
    </row>
    <row r="164" spans="1:7" x14ac:dyDescent="0.2">
      <c r="A164" s="22" t="s">
        <v>246</v>
      </c>
      <c r="B164" s="137">
        <f>'DOE25'!F503</f>
        <v>1953918.5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1953918.5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WINNACUNNET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17943</v>
      </c>
    </row>
    <row r="7" spans="1:4" x14ac:dyDescent="0.2">
      <c r="B7" t="s">
        <v>705</v>
      </c>
      <c r="C7" s="179">
        <f>IF('DOE25'!I665+'DOE25'!I670=0,0,ROUND('DOE25'!I672,0))</f>
        <v>17943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9007891</v>
      </c>
      <c r="D10" s="182">
        <f>ROUND((C10/$C$28)*100,1)</f>
        <v>41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3472860</v>
      </c>
      <c r="D11" s="182">
        <f>ROUND((C11/$C$28)*100,1)</f>
        <v>15.8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150790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869483</v>
      </c>
      <c r="D13" s="182">
        <f>ROUND((C13/$C$28)*100,1)</f>
        <v>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1296750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1370700</v>
      </c>
      <c r="D16" s="182">
        <f t="shared" si="0"/>
        <v>6.2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653430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1066504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2173747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771336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167168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708294</v>
      </c>
      <c r="D25" s="182">
        <f t="shared" si="0"/>
        <v>3.2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239613.83000000002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21948566.829999998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127456</v>
      </c>
    </row>
    <row r="30" spans="1:4" x14ac:dyDescent="0.2">
      <c r="B30" s="187" t="s">
        <v>729</v>
      </c>
      <c r="C30" s="180">
        <f>SUM(C28:C29)</f>
        <v>22076022.829999998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1255000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16053448</v>
      </c>
      <c r="D35" s="182">
        <f t="shared" ref="D35:D40" si="1">ROUND((C35/$C$41)*100,1)</f>
        <v>69.400000000000006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385073.61000000127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4924978</v>
      </c>
      <c r="D37" s="182">
        <f t="shared" si="1"/>
        <v>21.3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1022284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746393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23132176.609999999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7" sqref="C27:M2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WINNACUNNET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2016-10-06T17:13:43Z</cp:lastPrinted>
  <dcterms:created xsi:type="dcterms:W3CDTF">1997-12-04T19:04:30Z</dcterms:created>
  <dcterms:modified xsi:type="dcterms:W3CDTF">2016-12-01T18:51:40Z</dcterms:modified>
</cp:coreProperties>
</file>