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D50" i="2" s="1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L203" i="1"/>
  <c r="C16" i="10" s="1"/>
  <c r="L221" i="1"/>
  <c r="L239" i="1"/>
  <c r="F12" i="13"/>
  <c r="G12" i="13"/>
  <c r="L205" i="1"/>
  <c r="L223" i="1"/>
  <c r="C18" i="10" s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E120" i="2" s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C29" i="10" s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1" i="2"/>
  <c r="E112" i="2"/>
  <c r="C113" i="2"/>
  <c r="E113" i="2"/>
  <c r="C114" i="2"/>
  <c r="E114" i="2"/>
  <c r="D115" i="2"/>
  <c r="F115" i="2"/>
  <c r="G115" i="2"/>
  <c r="E121" i="2"/>
  <c r="E122" i="2"/>
  <c r="E124" i="2"/>
  <c r="C125" i="2"/>
  <c r="E125" i="2"/>
  <c r="F128" i="2"/>
  <c r="G128" i="2"/>
  <c r="C130" i="2"/>
  <c r="E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F461" i="1"/>
  <c r="H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J571" i="1" s="1"/>
  <c r="K560" i="1"/>
  <c r="L562" i="1"/>
  <c r="L563" i="1"/>
  <c r="L564" i="1"/>
  <c r="L565" i="1" s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9" i="1"/>
  <c r="J649" i="1" s="1"/>
  <c r="G651" i="1"/>
  <c r="G652" i="1"/>
  <c r="H652" i="1"/>
  <c r="G653" i="1"/>
  <c r="H653" i="1"/>
  <c r="G654" i="1"/>
  <c r="H654" i="1"/>
  <c r="H655" i="1"/>
  <c r="J655" i="1" s="1"/>
  <c r="L256" i="1"/>
  <c r="C26" i="10"/>
  <c r="L351" i="1"/>
  <c r="A40" i="12"/>
  <c r="D62" i="2"/>
  <c r="D63" i="2" s="1"/>
  <c r="D18" i="13"/>
  <c r="C18" i="13" s="1"/>
  <c r="D17" i="13"/>
  <c r="C17" i="13" s="1"/>
  <c r="F78" i="2"/>
  <c r="F81" i="2" s="1"/>
  <c r="G157" i="2"/>
  <c r="F18" i="2"/>
  <c r="E103" i="2"/>
  <c r="E62" i="2"/>
  <c r="E63" i="2" s="1"/>
  <c r="G62" i="2"/>
  <c r="D19" i="13"/>
  <c r="C19" i="13" s="1"/>
  <c r="E78" i="2"/>
  <c r="E81" i="2" s="1"/>
  <c r="L427" i="1"/>
  <c r="H112" i="1"/>
  <c r="J641" i="1"/>
  <c r="J639" i="1"/>
  <c r="K571" i="1"/>
  <c r="L433" i="1"/>
  <c r="D81" i="2"/>
  <c r="I169" i="1"/>
  <c r="J643" i="1"/>
  <c r="I476" i="1"/>
  <c r="H625" i="1" s="1"/>
  <c r="J625" i="1" s="1"/>
  <c r="F169" i="1"/>
  <c r="J140" i="1"/>
  <c r="G22" i="2"/>
  <c r="H140" i="1"/>
  <c r="F22" i="13"/>
  <c r="H25" i="13"/>
  <c r="C25" i="13" s="1"/>
  <c r="G192" i="1"/>
  <c r="H192" i="1"/>
  <c r="E16" i="13"/>
  <c r="C16" i="13" s="1"/>
  <c r="L570" i="1"/>
  <c r="J636" i="1"/>
  <c r="G36" i="2"/>
  <c r="H545" i="1"/>
  <c r="C22" i="13"/>
  <c r="C124" i="2" l="1"/>
  <c r="I460" i="1"/>
  <c r="I461" i="1" s="1"/>
  <c r="H642" i="1" s="1"/>
  <c r="J642" i="1" s="1"/>
  <c r="H476" i="1"/>
  <c r="H624" i="1" s="1"/>
  <c r="K598" i="1"/>
  <c r="G647" i="1" s="1"/>
  <c r="J651" i="1"/>
  <c r="L560" i="1"/>
  <c r="L571" i="1" s="1"/>
  <c r="L544" i="1"/>
  <c r="L539" i="1"/>
  <c r="L534" i="1"/>
  <c r="H552" i="1"/>
  <c r="K550" i="1"/>
  <c r="K549" i="1"/>
  <c r="K551" i="1"/>
  <c r="J545" i="1"/>
  <c r="I545" i="1"/>
  <c r="G552" i="1"/>
  <c r="G545" i="1"/>
  <c r="L529" i="1"/>
  <c r="F552" i="1"/>
  <c r="L524" i="1"/>
  <c r="H52" i="1"/>
  <c r="H619" i="1" s="1"/>
  <c r="J619" i="1" s="1"/>
  <c r="H33" i="13"/>
  <c r="C123" i="2"/>
  <c r="C119" i="2"/>
  <c r="G257" i="1"/>
  <c r="G271" i="1" s="1"/>
  <c r="L247" i="1"/>
  <c r="C13" i="10"/>
  <c r="C12" i="10"/>
  <c r="F257" i="1"/>
  <c r="F271" i="1" s="1"/>
  <c r="D15" i="13"/>
  <c r="C15" i="13" s="1"/>
  <c r="G650" i="1"/>
  <c r="G662" i="1"/>
  <c r="C21" i="10"/>
  <c r="H647" i="1"/>
  <c r="C122" i="2"/>
  <c r="E13" i="13"/>
  <c r="C13" i="13" s="1"/>
  <c r="D12" i="13"/>
  <c r="C12" i="13" s="1"/>
  <c r="C121" i="2"/>
  <c r="C17" i="10"/>
  <c r="E8" i="13"/>
  <c r="C8" i="13" s="1"/>
  <c r="C118" i="2"/>
  <c r="C15" i="10"/>
  <c r="C112" i="2"/>
  <c r="L229" i="1"/>
  <c r="C110" i="2"/>
  <c r="K257" i="1"/>
  <c r="K271" i="1" s="1"/>
  <c r="J257" i="1"/>
  <c r="J271" i="1" s="1"/>
  <c r="I257" i="1"/>
  <c r="I271" i="1" s="1"/>
  <c r="H257" i="1"/>
  <c r="H271" i="1" s="1"/>
  <c r="F662" i="1"/>
  <c r="I662" i="1" s="1"/>
  <c r="C20" i="10"/>
  <c r="D14" i="13"/>
  <c r="C14" i="13" s="1"/>
  <c r="D7" i="13"/>
  <c r="C7" i="13" s="1"/>
  <c r="L211" i="1"/>
  <c r="D5" i="13"/>
  <c r="C5" i="13" s="1"/>
  <c r="K500" i="1"/>
  <c r="J617" i="1"/>
  <c r="C18" i="2"/>
  <c r="F476" i="1"/>
  <c r="H622" i="1" s="1"/>
  <c r="J622" i="1" s="1"/>
  <c r="C81" i="2"/>
  <c r="C62" i="2"/>
  <c r="F112" i="1"/>
  <c r="C36" i="10" s="1"/>
  <c r="C56" i="2"/>
  <c r="J623" i="1"/>
  <c r="D31" i="2"/>
  <c r="D18" i="2"/>
  <c r="J634" i="1"/>
  <c r="G661" i="1"/>
  <c r="D29" i="13"/>
  <c r="C29" i="13" s="1"/>
  <c r="H661" i="1"/>
  <c r="D127" i="2"/>
  <c r="D128" i="2" s="1"/>
  <c r="D145" i="2" s="1"/>
  <c r="F661" i="1"/>
  <c r="L362" i="1"/>
  <c r="C27" i="10" s="1"/>
  <c r="G461" i="1"/>
  <c r="H640" i="1" s="1"/>
  <c r="J640" i="1" s="1"/>
  <c r="G408" i="1"/>
  <c r="H645" i="1" s="1"/>
  <c r="J644" i="1"/>
  <c r="G645" i="1"/>
  <c r="J624" i="1"/>
  <c r="L309" i="1"/>
  <c r="E119" i="2"/>
  <c r="E118" i="2"/>
  <c r="F338" i="1"/>
  <c r="F352" i="1" s="1"/>
  <c r="E111" i="2"/>
  <c r="L328" i="1"/>
  <c r="C11" i="10"/>
  <c r="E110" i="2"/>
  <c r="H338" i="1"/>
  <c r="H352" i="1" s="1"/>
  <c r="G338" i="1"/>
  <c r="G352" i="1" s="1"/>
  <c r="A13" i="12"/>
  <c r="E109" i="2"/>
  <c r="L290" i="1"/>
  <c r="C10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E104" i="2"/>
  <c r="I663" i="1"/>
  <c r="J647" i="1" l="1"/>
  <c r="K552" i="1"/>
  <c r="L545" i="1"/>
  <c r="G660" i="1"/>
  <c r="G664" i="1" s="1"/>
  <c r="G672" i="1" s="1"/>
  <c r="C5" i="10" s="1"/>
  <c r="C128" i="2"/>
  <c r="H660" i="1"/>
  <c r="H664" i="1" s="1"/>
  <c r="H672" i="1" s="1"/>
  <c r="C6" i="10" s="1"/>
  <c r="L257" i="1"/>
  <c r="L271" i="1" s="1"/>
  <c r="G632" i="1" s="1"/>
  <c r="J632" i="1" s="1"/>
  <c r="E33" i="13"/>
  <c r="D35" i="13" s="1"/>
  <c r="C115" i="2"/>
  <c r="H648" i="1"/>
  <c r="J648" i="1" s="1"/>
  <c r="F660" i="1"/>
  <c r="F664" i="1" s="1"/>
  <c r="F672" i="1" s="1"/>
  <c r="C4" i="10" s="1"/>
  <c r="C63" i="2"/>
  <c r="C104" i="2" s="1"/>
  <c r="F193" i="1"/>
  <c r="G627" i="1" s="1"/>
  <c r="J627" i="1" s="1"/>
  <c r="G635" i="1"/>
  <c r="J635" i="1" s="1"/>
  <c r="I661" i="1"/>
  <c r="G51" i="2"/>
  <c r="J645" i="1"/>
  <c r="H646" i="1"/>
  <c r="J646" i="1" s="1"/>
  <c r="G104" i="2"/>
  <c r="E128" i="2"/>
  <c r="E115" i="2"/>
  <c r="D31" i="13"/>
  <c r="C31" i="13" s="1"/>
  <c r="L338" i="1"/>
  <c r="L352" i="1" s="1"/>
  <c r="G633" i="1" s="1"/>
  <c r="J633" i="1" s="1"/>
  <c r="C28" i="10"/>
  <c r="D22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I660" i="1"/>
  <c r="I664" i="1" s="1"/>
  <c r="I672" i="1" s="1"/>
  <c r="C7" i="10" s="1"/>
  <c r="F667" i="1"/>
  <c r="G667" i="1"/>
  <c r="H667" i="1"/>
  <c r="E145" i="2"/>
  <c r="D33" i="13"/>
  <c r="D36" i="13" s="1"/>
  <c r="D10" i="10"/>
  <c r="D18" i="10"/>
  <c r="D12" i="10"/>
  <c r="C30" i="10"/>
  <c r="D26" i="10"/>
  <c r="D24" i="10"/>
  <c r="D27" i="10"/>
  <c r="D17" i="10"/>
  <c r="D20" i="10"/>
  <c r="D15" i="10"/>
  <c r="D25" i="10"/>
  <c r="D19" i="10"/>
  <c r="D16" i="10"/>
  <c r="D23" i="10"/>
  <c r="D13" i="10"/>
  <c r="D11" i="10"/>
  <c r="D2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<sst xmlns="http://schemas.openxmlformats.org/spreadsheetml/2006/main" count="3959" uniqueCount="917">
  <si>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</si>
  <si>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</si>
  <si>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</si>
  <si>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</si>
  <si>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</si>
  <si>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</si>
  <si>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</si>
  <si>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</si>
  <si>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</si>
  <si>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</si>
  <si>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</si>
  <si>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</si>
  <si>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</si>
  <si>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</si>
  <si>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</si>
  <si>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</si>
  <si>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</si>
  <si>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</si>
  <si>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</si>
  <si>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</si>
  <si>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</si>
  <si>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</si>
  <si>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</si>
  <si>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</si>
  <si>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</si>
  <si>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</si>
  <si>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</si>
  <si>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</si>
  <si>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</si>
  <si>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</si>
  <si>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</si>
  <si>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</si>
  <si>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</si>
  <si>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</si>
  <si>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</si>
  <si>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</si>
  <si>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</si>
  <si>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</si>
  <si>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</si>
  <si>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</si>
  <si>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</si>
  <si>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</si>
  <si>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</si>
  <si>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</si>
  <si>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</si>
  <si>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</si>
  <si>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</si>
  <si>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</si>
  <si>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</si>
  <si>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</si>
  <si>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</si>
  <si>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</si>
  <si>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</si>
  <si>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</si>
  <si>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</si>
  <si>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</si>
  <si>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</si>
  <si>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</si>
  <si>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</si>
  <si>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</si>
  <si>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</si>
  <si>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</si>
  <si>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</si>
  <si>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</si>
  <si>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</si>
  <si>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</si>
  <si>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</si>
  <si>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</si>
  <si>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</si>
  <si>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</si>
  <si>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</si>
  <si>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</si>
  <si>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</si>
  <si>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</si>
  <si>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</si>
  <si>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</si>
  <si>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</si>
  <si>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</si>
  <si>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</si>
  <si>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</si>
  <si>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</si>
  <si>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</si>
  <si>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</si>
  <si>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</si>
  <si>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</si>
  <si>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</si>
  <si>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</si>
  <si>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</si>
  <si>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</si>
  <si>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</si>
  <si>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</si>
  <si>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</si>
  <si>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</si>
  <si>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</si>
  <si>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</si>
  <si>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</si>
  <si>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</si>
  <si>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</si>
  <si>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</si>
  <si>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</si>
  <si>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</si>
  <si>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</si>
  <si>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</si>
  <si>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</si>
  <si>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</si>
  <si>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</si>
  <si>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</si>
  <si>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</si>
  <si>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</si>
  <si>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</si>
  <si>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</si>
  <si>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</si>
  <si>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</si>
  <si>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</si>
  <si>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</si>
  <si>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</si>
  <si>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</si>
  <si>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</si>
  <si>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</si>
  <si>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</si>
  <si>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</si>
  <si>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</si>
  <si>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</si>
  <si>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</si>
  <si>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</si>
  <si>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</si>
  <si>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</si>
  <si>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</si>
  <si>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</si>
  <si>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</si>
  <si>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</si>
  <si>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</si>
  <si>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</si>
  <si>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</si>
  <si>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</si>
  <si>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</si>
  <si>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</si>
  <si>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</si>
  <si>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</si>
  <si>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</si>
  <si>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</si>
  <si>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</si>
  <si>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</si>
  <si>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</si>
  <si>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</si>
  <si>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</si>
  <si>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</si>
  <si>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</si>
  <si>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</si>
  <si>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</si>
  <si>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</si>
  <si>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</si>
  <si>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</si>
  <si>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</si>
  <si>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</si>
  <si>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</si>
  <si>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</si>
  <si>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</si>
  <si>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</si>
  <si>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</si>
  <si>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</si>
  <si>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</si>
  <si>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</si>
  <si>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</si>
  <si>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</si>
  <si>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</si>
  <si>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</si>
  <si>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</si>
  <si>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</si>
  <si>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</si>
  <si>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</si>
  <si>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</si>
  <si>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</si>
  <si>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</si>
  <si>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</si>
  <si>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</si>
  <si>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</si>
  <si>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</si>
  <si>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</si>
  <si>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</si>
  <si>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</si>
  <si>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</si>
  <si>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</si>
  <si>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</si>
  <si>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</si>
  <si>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</si>
  <si>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</si>
  <si>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</si>
  <si>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</si>
  <si>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</si>
  <si>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</si>
  <si>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</si>
  <si>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</si>
  <si>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</si>
  <si>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</si>
  <si>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</si>
  <si>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</si>
  <si>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</si>
  <si>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</si>
  <si>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</si>
  <si>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</si>
  <si>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</si>
  <si>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</si>
  <si>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</si>
  <si>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</si>
  <si>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</si>
  <si>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</si>
  <si>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</si>
  <si>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</si>
  <si>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</si>
  <si>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</si>
  <si>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</si>
  <si>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</si>
  <si>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</si>
  <si>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</si>
  <si>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</si>
  <si>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</si>
  <si>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</si>
  <si>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</si>
  <si>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</si>
  <si>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</si>
  <si>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</si>
  <si>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</si>
  <si>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</si>
  <si>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</si>
  <si>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</si>
  <si>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</si>
  <si>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</si>
  <si>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</si>
  <si>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</si>
  <si>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</si>
  <si>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</si>
  <si>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</si>
  <si>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</si>
  <si>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</si>
  <si>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</si>
  <si>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</si>
  <si>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</si>
  <si>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</si>
  <si>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</si>
  <si>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</si>
  <si>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</si>
  <si>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</si>
  <si>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</si>
  <si>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</si>
  <si>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</si>
  <si>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</si>
  <si>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</si>
  <si>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</si>
  <si>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</si>
  <si>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</si>
  <si>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</si>
  <si>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</si>
  <si>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</si>
  <si>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</si>
  <si>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</si>
  <si>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</si>
  <si>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</si>
  <si>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</si>
  <si>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</si>
  <si>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</si>
  <si>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</si>
  <si>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</si>
  <si>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</si>
  <si>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</si>
  <si>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</si>
  <si>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</si>
  <si>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</si>
  <si>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</si>
  <si>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</si>
  <si>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</si>
  <si>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</si>
  <si>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</si>
  <si>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</si>
  <si>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</si>
  <si>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</si>
  <si>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</si>
  <si>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</si>
  <si>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</si>
  <si>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</si>
  <si>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</si>
  <si>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</si>
  <si>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</si>
  <si>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</si>
  <si>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</si>
  <si>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</si>
  <si>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</si>
  <si>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</si>
  <si>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</si>
  <si>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</si>
  <si>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</si>
  <si>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</si>
  <si>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</si>
  <si>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</si>
  <si>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</si>
  <si>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</si>
  <si>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</si>
  <si>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</si>
  <si>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</si>
  <si>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</si>
  <si>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</si>
  <si>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</si>
  <si>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</si>
  <si>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</si>
  <si>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</si>
  <si>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</si>
  <si>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</si>
  <si>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</si>
  <si>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</si>
  <si>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</si>
  <si>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</si>
  <si>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</si>
  <si>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</si>
  <si>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</si>
  <si>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</si>
  <si>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</si>
  <si>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</si>
  <si>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</si>
  <si>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</si>
  <si>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</si>
  <si>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</si>
  <si>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</si>
  <si>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</si>
  <si>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</si>
  <si>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</si>
  <si>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</si>
  <si>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</si>
  <si>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</si>
  <si>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</si>
  <si>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</si>
  <si>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</si>
  <si>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</si>
  <si>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</si>
  <si>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</si>
  <si>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</si>
  <si>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</si>
  <si>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</si>
  <si>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</si>
  <si>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</si>
  <si>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</si>
  <si>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</si>
  <si>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</si>
  <si>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</si>
  <si>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</si>
  <si>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</si>
  <si>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</si>
  <si>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</si>
  <si>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</si>
  <si>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</si>
  <si>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</si>
  <si>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</si>
  <si>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</si>
  <si>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</si>
  <si>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</si>
  <si>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</si>
  <si>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</si>
  <si>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</si>
  <si>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</si>
  <si>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</si>
  <si>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</si>
  <si>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</si>
  <si>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</si>
  <si>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</si>
  <si>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</si>
  <si>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</si>
  <si>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</si>
  <si>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</si>
  <si>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</si>
  <si>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</si>
  <si>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</si>
  <si>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</si>
  <si>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</si>
  <si>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</si>
  <si>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</si>
  <si>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</si>
  <si>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</si>
  <si>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</si>
  <si>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</si>
  <si>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</si>
  <si>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</si>
  <si>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</si>
  <si>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</si>
  <si>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</si>
  <si>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</si>
  <si>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</si>
  <si>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</si>
  <si>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</si>
  <si>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</si>
  <si>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</si>
  <si>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</si>
  <si>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</si>
  <si>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</si>
  <si>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</si>
  <si>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</si>
  <si>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</si>
  <si>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</si>
  <si>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</si>
  <si>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</si>
  <si>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</si>
  <si>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</si>
  <si>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</si>
  <si>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</si>
  <si>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</si>
  <si>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</si>
  <si>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</si>
  <si>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</si>
  <si>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</si>
  <si>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</si>
  <si>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</si>
  <si>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</si>
  <si>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</si>
  <si>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</si>
  <si>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</si>
  <si>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</si>
  <si>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</si>
  <si>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</si>
  <si>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</si>
  <si>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</si>
  <si>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</si>
  <si>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</si>
  <si>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</si>
  <si>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</si>
  <si>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</si>
  <si>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</si>
  <si>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</si>
  <si>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</si>
  <si>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</si>
  <si>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</si>
  <si>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</si>
  <si>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</si>
  <si>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</si>
  <si>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</si>
  <si>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</si>
  <si>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</si>
  <si>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</si>
  <si>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</si>
  <si>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</si>
  <si>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</si>
  <si>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</si>
  <si>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</si>
  <si>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</si>
  <si>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</si>
  <si>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</si>
  <si>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</si>
  <si>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</si>
  <si>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</si>
  <si>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</si>
  <si>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</si>
  <si>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</si>
  <si>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</si>
  <si>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</si>
  <si>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</si>
  <si>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</si>
  <si>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</si>
  <si>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</si>
  <si>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</si>
  <si>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</si>
  <si>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</si>
  <si>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</si>
  <si>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</si>
  <si>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</si>
  <si>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</si>
  <si>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</si>
  <si>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</si>
  <si>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</si>
  <si>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</si>
  <si>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</si>
  <si>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</si>
  <si>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</si>
  <si>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</si>
  <si>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</si>
  <si>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</si>
  <si>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</si>
  <si>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</si>
  <si>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</si>
  <si>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</si>
  <si>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</si>
  <si>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</si>
  <si>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</si>
  <si>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</si>
  <si>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</si>
  <si>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</si>
  <si>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</si>
  <si>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</si>
  <si>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</si>
  <si>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</si>
  <si>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</si>
  <si>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</si>
  <si>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</si>
  <si>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</si>
  <si>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</si>
  <si>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</si>
  <si>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</si>
  <si>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</si>
  <si>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</si>
  <si>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</si>
  <si>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</si>
  <si>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</si>
  <si>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</si>
  <si>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</si>
  <si>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</si>
  <si>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</si>
  <si>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</si>
  <si>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</si>
  <si>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</si>
  <si>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</si>
  <si>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</si>
  <si>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</si>
  <si>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</si>
  <si>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</si>
  <si>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</si>
  <si>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</si>
  <si>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</si>
  <si>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</si>
  <si>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</si>
  <si>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</si>
  <si>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</si>
  <si>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</si>
  <si>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</si>
  <si>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</si>
  <si>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</si>
  <si>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</si>
  <si>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</si>
  <si>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</si>
  <si>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</si>
  <si>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</si>
  <si>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</si>
  <si>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</si>
  <si>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</si>
  <si>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</si>
  <si>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</si>
  <si>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</si>
  <si>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</si>
  <si>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</si>
  <si>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</si>
  <si>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</si>
  <si>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</si>
  <si>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</si>
  <si>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</si>
  <si>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</si>
  <si>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</si>
  <si>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</si>
  <si>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</si>
  <si>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</si>
  <si>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</si>
  <si>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</si>
  <si>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</si>
  <si>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</si>
  <si>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</si>
  <si>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</si>
  <si>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</si>
  <si>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</si>
  <si>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</si>
  <si>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</si>
  <si>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</si>
  <si>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</si>
  <si>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</si>
  <si>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</si>
  <si>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</si>
  <si>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</si>
  <si>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</si>
  <si>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</si>
  <si>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</si>
  <si>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</si>
  <si>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</si>
  <si>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</si>
  <si>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</si>
  <si>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</si>
  <si>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</si>
  <si>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</si>
  <si>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</si>
  <si>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</si>
  <si>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</si>
  <si>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</si>
  <si>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</si>
  <si>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</si>
  <si>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</si>
  <si>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</si>
  <si>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</si>
  <si>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</si>
  <si>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</si>
  <si>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</si>
  <si>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</si>
  <si>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</si>
  <si>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</si>
  <si>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</si>
  <si>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</si>
  <si>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</si>
  <si>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</si>
  <si>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</si>
  <si>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</si>
  <si>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</si>
  <si>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</si>
  <si>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</si>
  <si>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</si>
  <si>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</si>
  <si>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</si>
  <si>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</si>
  <si>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</si>
  <si>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</si>
  <si>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</si>
  <si>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</si>
  <si>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</si>
  <si>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</si>
  <si>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</si>
  <si>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</si>
  <si>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</si>
  <si>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</si>
  <si>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</si>
  <si>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</si>
  <si>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</si>
  <si>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</si>
  <si>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</si>
  <si>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</si>
  <si>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</si>
  <si>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</si>
  <si>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</si>
  <si>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</si>
  <si>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</si>
  <si>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</si>
  <si>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</si>
  <si>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</si>
  <si>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</si>
  <si>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</si>
  <si>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</si>
  <si>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</si>
  <si>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</si>
  <si>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</si>
  <si>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</si>
  <si>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</si>
  <si>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</si>
  <si>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</si>
  <si>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</si>
  <si>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</si>
  <si>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</si>
  <si>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</si>
  <si>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</si>
  <si>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</si>
  <si>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</si>
  <si>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</si>
  <si>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</si>
  <si>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</si>
  <si>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</si>
  <si>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</si>
  <si>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</si>
  <si>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</si>
  <si>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</si>
  <si>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</si>
  <si>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</si>
  <si>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</si>
  <si>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</si>
  <si>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</si>
  <si>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</si>
  <si>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</si>
  <si>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</si>
  <si>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</si>
  <si>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</si>
  <si>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</si>
  <si>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</si>
  <si>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</si>
  <si>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</si>
  <si>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</si>
  <si>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</si>
  <si>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</si>
  <si>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</si>
  <si>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</si>
  <si>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</si>
  <si>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</si>
  <si>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</si>
  <si>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</si>
  <si>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</si>
  <si>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</si>
  <si>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</si>
  <si>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</si>
  <si>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</si>
  <si>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</si>
  <si>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</si>
  <si>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</si>
  <si>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</si>
  <si>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</si>
  <si>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</si>
  <si>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</si>
  <si>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</si>
  <si>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</si>
  <si>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</si>
  <si>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</si>
  <si>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</si>
  <si>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</si>
  <si>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</si>
  <si>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</si>
  <si>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</si>
  <si>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</si>
  <si>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</si>
  <si>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</si>
  <si>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</si>
  <si>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</si>
  <si>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</si>
  <si>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</si>
  <si>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</si>
  <si>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</si>
  <si>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</si>
  <si>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</si>
  <si>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</si>
  <si>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</si>
  <si>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</si>
  <si>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</si>
  <si>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</si>
  <si>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</si>
  <si>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</si>
  <si>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</si>
  <si>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</si>
  <si>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</si>
  <si>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</si>
  <si>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</si>
  <si>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</si>
  <si>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</si>
  <si>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</si>
  <si>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</si>
  <si>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</si>
  <si>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</si>
  <si>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</si>
  <si>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</si>
  <si>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</si>
  <si>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</si>
  <si>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</si>
  <si>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</si>
  <si>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</si>
  <si>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</si>
  <si>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</si>
  <si>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</si>
  <si>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</si>
  <si>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</si>
  <si>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</si>
  <si>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</si>
  <si>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</si>
  <si>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</si>
  <si>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</si>
  <si>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</si>
  <si>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</si>
  <si>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</si>
  <si>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</si>
  <si>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</si>
  <si>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</si>
  <si>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</si>
  <si>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</si>
  <si>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</si>
  <si>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</si>
  <si>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</si>
  <si>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</si>
  <si>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</si>
  <si>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</si>
  <si>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</si>
  <si>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</si>
  <si>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</si>
  <si>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</si>
  <si>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</si>
  <si>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</si>
  <si>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</si>
  <si>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</si>
  <si>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</si>
  <si>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</si>
  <si>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</si>
  <si>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</si>
  <si>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</si>
  <si>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</si>
  <si>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</si>
  <si>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</si>
  <si>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</si>
  <si>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</si>
  <si>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</si>
  <si>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</si>
  <si>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</si>
  <si>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</si>
  <si>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</si>
  <si>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</si>
  <si>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</si>
  <si>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</si>
  <si>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</si>
  <si>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</si>
  <si>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</si>
  <si>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</si>
  <si>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</si>
  <si>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</si>
  <si>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</si>
  <si>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</si>
  <si>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</si>
  <si>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</si>
  <si>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</si>
  <si>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</si>
  <si>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</si>
  <si>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</si>
  <si>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</si>
  <si>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</si>
  <si>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</si>
  <si>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</si>
  <si>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</si>
  <si>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</si>
  <si>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</si>
  <si>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</si>
  <si>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</si>
  <si>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</si>
  <si>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</si>
  <si>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</si>
  <si>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</si>
  <si>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</si>
  <si>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</si>
  <si>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</si>
  <si>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</si>
  <si>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</si>
  <si>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</si>
  <si>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</si>
  <si>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</si>
  <si>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</si>
  <si>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</si>
  <si>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</si>
  <si>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</si>
  <si>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</si>
  <si>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</si>
  <si>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</si>
  <si>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</si>
  <si>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</si>
  <si>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</si>
  <si>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</si>
  <si>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</si>
  <si>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</si>
  <si>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</si>
  <si>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</si>
  <si>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</si>
  <si>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</si>
  <si>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</si>
  <si>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</si>
  <si>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</si>
  <si>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</si>
  <si>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</si>
  <si>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</si>
  <si>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</si>
  <si>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</si>
  <si>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</si>
  <si>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</si>
  <si>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</si>
  <si>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</si>
  <si>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</si>
  <si>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</si>
  <si>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</si>
  <si>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</si>
  <si>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</si>
  <si>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</si>
  <si>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</si>
  <si>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</si>
  <si>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</si>
  <si>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</si>
  <si>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</si>
  <si>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</si>
  <si>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</si>
  <si>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</si>
  <si>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</si>
  <si>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</si>
  <si>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</si>
  <si>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</si>
  <si>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</si>
  <si>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</si>
  <si>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</si>
  <si>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</si>
  <si>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</si>
  <si>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</si>
  <si>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</si>
  <si>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</si>
  <si>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</si>
  <si>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</si>
  <si>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</si>
  <si>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</si>
  <si>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</si>
  <si>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</si>
  <si>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</si>
  <si>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</si>
  <si>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</si>
  <si>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</si>
  <si>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</si>
  <si>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</si>
  <si>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</si>
  <si>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</si>
  <si>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</si>
  <si>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</si>
  <si>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</si>
  <si>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</si>
  <si>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</si>
  <si>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</si>
  <si>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</si>
  <si>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</si>
  <si>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</si>
  <si>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</si>
  <si>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</si>
  <si>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</si>
  <si>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</si>
  <si>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</si>
  <si>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</si>
  <si>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</si>
  <si>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</si>
  <si>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</si>
  <si>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</si>
  <si>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</si>
  <si>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</si>
  <si>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</si>
  <si>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</si>
  <si>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</si>
  <si>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</si>
  <si>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</si>
  <si>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</si>
  <si>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</si>
  <si>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</si>
  <si>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</si>
  <si>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</si>
  <si>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3/11</t>
  </si>
  <si>
    <t>11/09</t>
  </si>
  <si>
    <t>12/25</t>
  </si>
  <si>
    <t>8/21</t>
  </si>
  <si>
    <t>Winnsiquam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</si>
</sst>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5" zoomScaleNormal="11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582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1962819.61</v>
      </c>
      <c r="G9" s="18">
        <v>11098.43</v>
      </c>
      <c r="H9" s="18">
        <v>20397.2</v>
      </c>
      <c r="I9" s="18"/>
      <c r="J9" s="67">
        <f>SUM(I439)</f>
        <v>1150819.79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501195.26</v>
      </c>
      <c r="G12" s="18">
        <v>181042.05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8239.18</v>
      </c>
      <c r="G13" s="18">
        <v>21381.18</v>
      </c>
      <c r="H13" s="18">
        <v>282535.81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188781.24</v>
      </c>
      <c r="G14" s="18">
        <v>4458.3999999999996</v>
      </c>
      <c r="H14" s="18">
        <v>2754.26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15813</v>
      </c>
      <c r="G17" s="18">
        <v>865</v>
      </c>
      <c r="H17" s="18"/>
      <c r="I17" s="18"/>
      <c r="J17" s="67">
        <f>SUM(I444)</f>
        <v>60197.74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2676848.29</v>
      </c>
      <c r="G19" s="41">
        <f>SUM(G9:G18)</f>
        <v>218845.05999999997</v>
      </c>
      <c r="H19" s="41">
        <f>SUM(H9:H18)</f>
        <v>305687.27</v>
      </c>
      <c r="I19" s="41">
        <f>SUM(I9:I18)</f>
        <v>0</v>
      </c>
      <c r="J19" s="41">
        <f>SUM(J9:J18)</f>
        <v>1211017.53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192174.09</v>
      </c>
      <c r="G22" s="18"/>
      <c r="H22" s="18">
        <v>271403.77</v>
      </c>
      <c r="I22" s="18"/>
      <c r="J22" s="67">
        <f>SUM(I448)</f>
        <v>218659.45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181176.74</v>
      </c>
      <c r="G24" s="18">
        <v>645.91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59658.39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491839.78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10499.85</v>
      </c>
      <c r="H30" s="18">
        <v>11132.04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2743.58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927592.58</v>
      </c>
      <c r="G32" s="41">
        <f>SUM(G22:G31)</f>
        <v>11145.76</v>
      </c>
      <c r="H32" s="41">
        <f>SUM(H22:H31)</f>
        <v>282535.81</v>
      </c>
      <c r="I32" s="41">
        <f>SUM(I22:I31)</f>
        <v>0</v>
      </c>
      <c r="J32" s="41">
        <f>SUM(J22:J31)</f>
        <v>218659.45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356374.16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207699.3</v>
      </c>
      <c r="H48" s="18">
        <v>23151.46</v>
      </c>
      <c r="I48" s="18"/>
      <c r="J48" s="13">
        <f>SUM(I459)</f>
        <v>992358.08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942881.55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1749255.71</v>
      </c>
      <c r="G51" s="41">
        <f>SUM(G35:G50)</f>
        <v>207699.3</v>
      </c>
      <c r="H51" s="41">
        <f>SUM(H35:H50)</f>
        <v>23151.46</v>
      </c>
      <c r="I51" s="41">
        <f>SUM(I35:I50)</f>
        <v>0</v>
      </c>
      <c r="J51" s="41">
        <f>SUM(J35:J50)</f>
        <v>992358.08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2676848.29</v>
      </c>
      <c r="G52" s="41">
        <f>G51+G32</f>
        <v>218845.06</v>
      </c>
      <c r="H52" s="41">
        <f>H51+H32</f>
        <v>305687.27</v>
      </c>
      <c r="I52" s="41">
        <f>I51+I32</f>
        <v>0</v>
      </c>
      <c r="J52" s="41">
        <f>J51+J32</f>
        <v>1211017.53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13117945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13117945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2816.97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138937.53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25928.13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167682.63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6508.32</v>
      </c>
      <c r="G96" s="18"/>
      <c r="H96" s="18">
        <v>19.14</v>
      </c>
      <c r="I96" s="18"/>
      <c r="J96" s="18">
        <v>1888.29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306142.63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4359.1899999999996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1335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215188.95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145394.41</v>
      </c>
      <c r="G110" s="18"/>
      <c r="H110" s="18">
        <v>11272.4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372785.87</v>
      </c>
      <c r="G111" s="41">
        <f>SUM(G96:G110)</f>
        <v>306142.63</v>
      </c>
      <c r="H111" s="41">
        <f>SUM(H96:H110)</f>
        <v>11291.539999999999</v>
      </c>
      <c r="I111" s="41">
        <f>SUM(I96:I110)</f>
        <v>0</v>
      </c>
      <c r="J111" s="41">
        <f>SUM(J96:J110)</f>
        <v>1888.29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13658413.5</v>
      </c>
      <c r="G112" s="41">
        <f>G60+G111</f>
        <v>306142.63</v>
      </c>
      <c r="H112" s="41">
        <f>H60+H79+H94+H111</f>
        <v>11291.539999999999</v>
      </c>
      <c r="I112" s="41">
        <f>I60+I111</f>
        <v>0</v>
      </c>
      <c r="J112" s="41">
        <f>J60+J111</f>
        <v>1888.29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6388715.3099999996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2781330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9171927.2899999991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616416.76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58908.51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34287.839999999997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17878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9726.7800000000007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727491.11</v>
      </c>
      <c r="G136" s="41">
        <f>SUM(G123:G135)</f>
        <v>9726.7800000000007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9899418.3999999985</v>
      </c>
      <c r="G140" s="41">
        <f>G121+SUM(G136:G137)</f>
        <v>9726.7800000000007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468693.78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141161.59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63439.96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325946.11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361010.63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233140.5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233140.5</v>
      </c>
      <c r="G162" s="41">
        <f>SUM(G150:G161)</f>
        <v>325946.11</v>
      </c>
      <c r="H162" s="41">
        <f>SUM(H150:H161)</f>
        <v>1034305.96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233140.5</v>
      </c>
      <c r="G169" s="41">
        <f>G147+G162+SUM(G163:G168)</f>
        <v>325946.11</v>
      </c>
      <c r="H169" s="41">
        <f>H147+H162+SUM(H163:H168)</f>
        <v>1034305.96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4485.92</v>
      </c>
      <c r="H179" s="18"/>
      <c r="I179" s="18"/>
      <c r="J179" s="18">
        <v>490000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3440.35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3440.35</v>
      </c>
      <c r="G183" s="41">
        <f>SUM(G179:G182)</f>
        <v>4485.92</v>
      </c>
      <c r="H183" s="41">
        <f>SUM(H179:H182)</f>
        <v>0</v>
      </c>
      <c r="I183" s="41">
        <f>SUM(I179:I182)</f>
        <v>0</v>
      </c>
      <c r="J183" s="41">
        <f>SUM(J179:J182)</f>
        <v>490000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3440.35</v>
      </c>
      <c r="G192" s="41">
        <f>G183+SUM(G188:G191)</f>
        <v>4485.92</v>
      </c>
      <c r="H192" s="41">
        <f>+H183+SUM(H188:H191)</f>
        <v>0</v>
      </c>
      <c r="I192" s="41">
        <f>I177+I183+SUM(I188:I191)</f>
        <v>0</v>
      </c>
      <c r="J192" s="41">
        <f>J183</f>
        <v>490000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23794412.75</v>
      </c>
      <c r="G193" s="47">
        <f>G112+G140+G169+G192</f>
        <v>646301.44000000006</v>
      </c>
      <c r="H193" s="47">
        <f>H112+H140+H169+H192</f>
        <v>1045597.5</v>
      </c>
      <c r="I193" s="47">
        <f>I112+I140+I169+I192</f>
        <v>0</v>
      </c>
      <c r="J193" s="47">
        <f>J112+J140+J192</f>
        <v>491888.29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2471874.61</v>
      </c>
      <c r="G197" s="18">
        <v>1160148.99</v>
      </c>
      <c r="H197" s="18">
        <v>630</v>
      </c>
      <c r="I197" s="18">
        <v>82051.59</v>
      </c>
      <c r="J197" s="18">
        <v>9698.07</v>
      </c>
      <c r="K197" s="18"/>
      <c r="L197" s="19">
        <f>SUM(F197:K197)</f>
        <v>3724403.2599999993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745859.95</v>
      </c>
      <c r="G198" s="18">
        <v>315063.25</v>
      </c>
      <c r="H198" s="18">
        <v>414022.57</v>
      </c>
      <c r="I198" s="18">
        <v>8387.84</v>
      </c>
      <c r="J198" s="18">
        <v>15345.53</v>
      </c>
      <c r="K198" s="18">
        <v>984.07</v>
      </c>
      <c r="L198" s="19">
        <f>SUM(F198:K198)</f>
        <v>1499663.2100000002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7052.58</v>
      </c>
      <c r="G200" s="18">
        <v>1480.52</v>
      </c>
      <c r="H200" s="18"/>
      <c r="I200" s="18"/>
      <c r="J200" s="18"/>
      <c r="K200" s="18"/>
      <c r="L200" s="19">
        <f>SUM(F200:K200)</f>
        <v>8533.1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446403.93</v>
      </c>
      <c r="G202" s="18">
        <v>217891.8</v>
      </c>
      <c r="H202" s="18">
        <v>39654.050000000003</v>
      </c>
      <c r="I202" s="18">
        <v>5763.98</v>
      </c>
      <c r="J202" s="18">
        <v>1215.4100000000001</v>
      </c>
      <c r="K202" s="18">
        <v>387</v>
      </c>
      <c r="L202" s="19">
        <f t="shared" ref="L202:L208" si="0">SUM(F202:K202)</f>
        <v>711316.17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126786.21</v>
      </c>
      <c r="G203" s="18">
        <v>110662.67</v>
      </c>
      <c r="H203" s="18">
        <v>28729.96</v>
      </c>
      <c r="I203" s="18">
        <v>14528.14</v>
      </c>
      <c r="J203" s="18"/>
      <c r="K203" s="18">
        <v>169.06</v>
      </c>
      <c r="L203" s="19">
        <f t="shared" si="0"/>
        <v>280876.04000000004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346624.35</v>
      </c>
      <c r="G204" s="18">
        <v>157817.89000000001</v>
      </c>
      <c r="H204" s="18">
        <v>136317.49</v>
      </c>
      <c r="I204" s="18">
        <v>12695.88</v>
      </c>
      <c r="J204" s="18">
        <v>129338.35</v>
      </c>
      <c r="K204" s="18">
        <v>4538.3</v>
      </c>
      <c r="L204" s="19">
        <f t="shared" si="0"/>
        <v>787332.26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364192.09</v>
      </c>
      <c r="G205" s="18">
        <v>171946.54</v>
      </c>
      <c r="H205" s="18">
        <v>11394.93</v>
      </c>
      <c r="I205" s="18">
        <v>500.66</v>
      </c>
      <c r="J205" s="18">
        <v>1737.26</v>
      </c>
      <c r="K205" s="18">
        <v>1952.5</v>
      </c>
      <c r="L205" s="19">
        <f t="shared" si="0"/>
        <v>551723.9800000001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99010.08</v>
      </c>
      <c r="G206" s="18">
        <v>47939.44</v>
      </c>
      <c r="H206" s="18"/>
      <c r="I206" s="18"/>
      <c r="J206" s="18"/>
      <c r="K206" s="18"/>
      <c r="L206" s="19">
        <f t="shared" si="0"/>
        <v>146949.52000000002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331347.09999999998</v>
      </c>
      <c r="G207" s="18">
        <v>198502.18</v>
      </c>
      <c r="H207" s="18">
        <v>228064.7</v>
      </c>
      <c r="I207" s="18">
        <v>178375.49</v>
      </c>
      <c r="J207" s="18">
        <v>15614.8</v>
      </c>
      <c r="K207" s="18">
        <v>517.32000000000005</v>
      </c>
      <c r="L207" s="19">
        <f t="shared" si="0"/>
        <v>952421.59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347958.35</v>
      </c>
      <c r="I208" s="18">
        <v>71531.83</v>
      </c>
      <c r="J208" s="18"/>
      <c r="K208" s="18"/>
      <c r="L208" s="19">
        <f t="shared" si="0"/>
        <v>419490.18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15061.43</v>
      </c>
      <c r="H209" s="18"/>
      <c r="I209" s="18"/>
      <c r="J209" s="18"/>
      <c r="K209" s="18"/>
      <c r="L209" s="19">
        <f>SUM(F209:K209)</f>
        <v>15061.43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4939150.8999999994</v>
      </c>
      <c r="G211" s="41">
        <f t="shared" si="1"/>
        <v>2396514.7100000004</v>
      </c>
      <c r="H211" s="41">
        <f t="shared" si="1"/>
        <v>1206772.0500000003</v>
      </c>
      <c r="I211" s="41">
        <f t="shared" si="1"/>
        <v>373835.41</v>
      </c>
      <c r="J211" s="41">
        <f t="shared" si="1"/>
        <v>172949.42</v>
      </c>
      <c r="K211" s="41">
        <f t="shared" si="1"/>
        <v>8548.25</v>
      </c>
      <c r="L211" s="41">
        <f t="shared" si="1"/>
        <v>9097770.7399999984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1199083.3799999999</v>
      </c>
      <c r="G215" s="18">
        <v>576025.02</v>
      </c>
      <c r="H215" s="18">
        <v>18350</v>
      </c>
      <c r="I215" s="18">
        <v>54551.12</v>
      </c>
      <c r="J215" s="18">
        <v>41429.18</v>
      </c>
      <c r="K215" s="18">
        <v>693</v>
      </c>
      <c r="L215" s="19">
        <f>SUM(F215:K215)</f>
        <v>1890131.7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254161.48</v>
      </c>
      <c r="G216" s="18">
        <v>93497.54</v>
      </c>
      <c r="H216" s="18">
        <v>273702.99</v>
      </c>
      <c r="I216" s="18">
        <v>1941.92</v>
      </c>
      <c r="J216" s="18">
        <v>19318.990000000002</v>
      </c>
      <c r="K216" s="18">
        <v>278.79000000000002</v>
      </c>
      <c r="L216" s="19">
        <f>SUM(F216:K216)</f>
        <v>642901.71000000008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88822.51</v>
      </c>
      <c r="G218" s="18">
        <v>28016.9</v>
      </c>
      <c r="H218" s="18">
        <v>16190.35</v>
      </c>
      <c r="I218" s="18">
        <v>10462.66</v>
      </c>
      <c r="J218" s="18">
        <v>5059.29</v>
      </c>
      <c r="K218" s="18">
        <v>2353.5500000000002</v>
      </c>
      <c r="L218" s="19">
        <f>SUM(F218:K218)</f>
        <v>150905.26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221874.28</v>
      </c>
      <c r="G220" s="18">
        <v>106538.76</v>
      </c>
      <c r="H220" s="18">
        <v>61552.56</v>
      </c>
      <c r="I220" s="18">
        <v>6255.8</v>
      </c>
      <c r="J220" s="18">
        <v>611.82000000000005</v>
      </c>
      <c r="K220" s="18">
        <v>465</v>
      </c>
      <c r="L220" s="19">
        <f t="shared" ref="L220:L226" si="2">SUM(F220:K220)</f>
        <v>397298.22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115622.56</v>
      </c>
      <c r="G221" s="18">
        <v>83418.509999999995</v>
      </c>
      <c r="H221" s="18">
        <v>17465.73</v>
      </c>
      <c r="I221" s="18">
        <v>18393.27</v>
      </c>
      <c r="J221" s="18">
        <v>287.83999999999997</v>
      </c>
      <c r="K221" s="18">
        <v>286.13</v>
      </c>
      <c r="L221" s="19">
        <f t="shared" si="2"/>
        <v>235474.04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207338.3</v>
      </c>
      <c r="G222" s="18">
        <v>94401.03</v>
      </c>
      <c r="H222" s="18">
        <v>81564.179999999993</v>
      </c>
      <c r="I222" s="18">
        <v>8186.54</v>
      </c>
      <c r="J222" s="18">
        <v>62434.53</v>
      </c>
      <c r="K222" s="18">
        <v>2714.65</v>
      </c>
      <c r="L222" s="19">
        <f t="shared" si="2"/>
        <v>456639.23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243138.94</v>
      </c>
      <c r="G223" s="18">
        <v>136085</v>
      </c>
      <c r="H223" s="18">
        <v>6737.44</v>
      </c>
      <c r="I223" s="18">
        <v>7492.34</v>
      </c>
      <c r="J223" s="18"/>
      <c r="K223" s="18">
        <v>1793.5</v>
      </c>
      <c r="L223" s="19">
        <f t="shared" si="2"/>
        <v>395247.22000000003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59224.29</v>
      </c>
      <c r="G224" s="18">
        <v>28675.66</v>
      </c>
      <c r="H224" s="18"/>
      <c r="I224" s="18"/>
      <c r="J224" s="18"/>
      <c r="K224" s="18"/>
      <c r="L224" s="19">
        <f t="shared" si="2"/>
        <v>87899.95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166705.14000000001</v>
      </c>
      <c r="G225" s="18">
        <v>102684.56</v>
      </c>
      <c r="H225" s="18">
        <v>157866.45000000001</v>
      </c>
      <c r="I225" s="18">
        <v>77619.350000000006</v>
      </c>
      <c r="J225" s="18">
        <v>11322.92</v>
      </c>
      <c r="K225" s="18">
        <v>309.44</v>
      </c>
      <c r="L225" s="19">
        <f t="shared" si="2"/>
        <v>516507.86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223690.46</v>
      </c>
      <c r="I226" s="18">
        <v>42787.78</v>
      </c>
      <c r="J226" s="18"/>
      <c r="K226" s="18"/>
      <c r="L226" s="19">
        <f t="shared" si="2"/>
        <v>266478.24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>
        <v>9009.2099999999991</v>
      </c>
      <c r="H227" s="18"/>
      <c r="I227" s="18"/>
      <c r="J227" s="18"/>
      <c r="K227" s="18"/>
      <c r="L227" s="19">
        <f>SUM(F227:K227)</f>
        <v>9009.2099999999991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2555970.8800000004</v>
      </c>
      <c r="G229" s="41">
        <f>SUM(G215:G228)</f>
        <v>1258352.1900000002</v>
      </c>
      <c r="H229" s="41">
        <f>SUM(H215:H228)</f>
        <v>857120.15999999992</v>
      </c>
      <c r="I229" s="41">
        <f>SUM(I215:I228)</f>
        <v>227690.78</v>
      </c>
      <c r="J229" s="41">
        <f>SUM(J215:J228)</f>
        <v>140464.57</v>
      </c>
      <c r="K229" s="41">
        <f t="shared" si="3"/>
        <v>8894.0600000000013</v>
      </c>
      <c r="L229" s="41">
        <f t="shared" si="3"/>
        <v>5048492.6400000006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1472281.35</v>
      </c>
      <c r="G233" s="18">
        <v>682553.04</v>
      </c>
      <c r="H233" s="18">
        <v>80862.850000000006</v>
      </c>
      <c r="I233" s="18">
        <v>68659.31</v>
      </c>
      <c r="J233" s="18">
        <v>31590.31</v>
      </c>
      <c r="K233" s="18">
        <v>2169.4499999999998</v>
      </c>
      <c r="L233" s="19">
        <f>SUM(F233:K233)</f>
        <v>2338116.3100000005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462783.39</v>
      </c>
      <c r="G234" s="18">
        <v>158543.74</v>
      </c>
      <c r="H234" s="18">
        <v>534092.6</v>
      </c>
      <c r="I234" s="18">
        <v>3759.37</v>
      </c>
      <c r="J234" s="18">
        <v>16485.97</v>
      </c>
      <c r="K234" s="18">
        <v>369.15</v>
      </c>
      <c r="L234" s="19">
        <f>SUM(F234:K234)</f>
        <v>1176034.22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198648.97</v>
      </c>
      <c r="G235" s="18">
        <v>88305.11</v>
      </c>
      <c r="H235" s="18">
        <v>155889.42000000001</v>
      </c>
      <c r="I235" s="18">
        <v>11281.56</v>
      </c>
      <c r="J235" s="18"/>
      <c r="K235" s="18">
        <v>333</v>
      </c>
      <c r="L235" s="19">
        <f>SUM(F235:K235)</f>
        <v>454458.06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198767.96</v>
      </c>
      <c r="G236" s="18">
        <v>48174.21</v>
      </c>
      <c r="H236" s="18">
        <v>65392.42</v>
      </c>
      <c r="I236" s="18">
        <v>17138.11</v>
      </c>
      <c r="J236" s="18">
        <v>11442.77</v>
      </c>
      <c r="K236" s="18">
        <v>15210.02</v>
      </c>
      <c r="L236" s="19">
        <f>SUM(F236:K236)</f>
        <v>356125.49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226490.25</v>
      </c>
      <c r="G238" s="18">
        <v>152390.43</v>
      </c>
      <c r="H238" s="18">
        <v>70471.89</v>
      </c>
      <c r="I238" s="18">
        <v>6880.5</v>
      </c>
      <c r="J238" s="18">
        <v>2138.0100000000002</v>
      </c>
      <c r="K238" s="18">
        <v>39</v>
      </c>
      <c r="L238" s="19">
        <f t="shared" ref="L238:L244" si="4">SUM(F238:K238)</f>
        <v>458410.08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157199.07999999999</v>
      </c>
      <c r="G239" s="18">
        <v>108215.53</v>
      </c>
      <c r="H239" s="18">
        <v>19358.919999999998</v>
      </c>
      <c r="I239" s="18">
        <v>17389.07</v>
      </c>
      <c r="J239" s="18">
        <v>8523</v>
      </c>
      <c r="K239" s="18">
        <v>133.91</v>
      </c>
      <c r="L239" s="19">
        <f t="shared" si="4"/>
        <v>310819.50999999995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274542.52</v>
      </c>
      <c r="G240" s="18">
        <v>124999.09</v>
      </c>
      <c r="H240" s="18">
        <v>108001.44</v>
      </c>
      <c r="I240" s="18">
        <v>17396.47</v>
      </c>
      <c r="J240" s="18">
        <v>113537.31</v>
      </c>
      <c r="K240" s="18">
        <v>3594.55</v>
      </c>
      <c r="L240" s="19">
        <f t="shared" si="4"/>
        <v>642071.38000000012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339947.25</v>
      </c>
      <c r="G241" s="18">
        <v>183088.78</v>
      </c>
      <c r="H241" s="18">
        <v>16149.14</v>
      </c>
      <c r="I241" s="18">
        <v>5412.35</v>
      </c>
      <c r="J241" s="18"/>
      <c r="K241" s="18">
        <v>5634.23</v>
      </c>
      <c r="L241" s="19">
        <f t="shared" si="4"/>
        <v>550231.75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78420.56</v>
      </c>
      <c r="G242" s="18">
        <v>37970.26</v>
      </c>
      <c r="H242" s="18"/>
      <c r="I242" s="18"/>
      <c r="J242" s="18"/>
      <c r="K242" s="18"/>
      <c r="L242" s="19">
        <f t="shared" si="4"/>
        <v>116390.82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240846.09</v>
      </c>
      <c r="G243" s="18">
        <v>154722.89000000001</v>
      </c>
      <c r="H243" s="18">
        <v>163350.16</v>
      </c>
      <c r="I243" s="18">
        <v>210693.44</v>
      </c>
      <c r="J243" s="18">
        <v>21543.040000000001</v>
      </c>
      <c r="K243" s="18">
        <v>409.74</v>
      </c>
      <c r="L243" s="19">
        <f t="shared" si="4"/>
        <v>791565.3600000001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320392.09999999998</v>
      </c>
      <c r="I244" s="18">
        <v>56656.52</v>
      </c>
      <c r="J244" s="18"/>
      <c r="K244" s="18"/>
      <c r="L244" s="19">
        <f t="shared" si="4"/>
        <v>377048.62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11929.35</v>
      </c>
      <c r="H245" s="18"/>
      <c r="I245" s="18"/>
      <c r="J245" s="18"/>
      <c r="K245" s="18"/>
      <c r="L245" s="19">
        <f>SUM(F245:K245)</f>
        <v>11929.35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3649927.4200000004</v>
      </c>
      <c r="G247" s="41">
        <f t="shared" si="5"/>
        <v>1750892.4300000002</v>
      </c>
      <c r="H247" s="41">
        <f t="shared" si="5"/>
        <v>1533960.94</v>
      </c>
      <c r="I247" s="41">
        <f t="shared" si="5"/>
        <v>415266.7</v>
      </c>
      <c r="J247" s="41">
        <f t="shared" si="5"/>
        <v>205260.41</v>
      </c>
      <c r="K247" s="41">
        <f t="shared" si="5"/>
        <v>27893.05</v>
      </c>
      <c r="L247" s="41">
        <f t="shared" si="5"/>
        <v>7583200.9500000002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11145049.199999999</v>
      </c>
      <c r="G257" s="41">
        <f t="shared" si="8"/>
        <v>5405759.3300000001</v>
      </c>
      <c r="H257" s="41">
        <f t="shared" si="8"/>
        <v>3597853.1500000004</v>
      </c>
      <c r="I257" s="41">
        <f t="shared" si="8"/>
        <v>1016792.8899999999</v>
      </c>
      <c r="J257" s="41">
        <f t="shared" si="8"/>
        <v>518674.4</v>
      </c>
      <c r="K257" s="41">
        <f t="shared" si="8"/>
        <v>45335.360000000001</v>
      </c>
      <c r="L257" s="41">
        <f t="shared" si="8"/>
        <v>21729464.329999998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1093702.58</v>
      </c>
      <c r="L260" s="19">
        <f>SUM(F260:K260)</f>
        <v>1093702.58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208643.41</v>
      </c>
      <c r="L261" s="19">
        <f>SUM(F261:K261)</f>
        <v>208643.41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4485.92</v>
      </c>
      <c r="L263" s="19">
        <f>SUM(F263:K263)</f>
        <v>4485.92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490000</v>
      </c>
      <c r="L266" s="19">
        <f t="shared" si="9"/>
        <v>490000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1796831.91</v>
      </c>
      <c r="L270" s="41">
        <f t="shared" si="9"/>
        <v>1796831.91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11145049.199999999</v>
      </c>
      <c r="G271" s="42">
        <f t="shared" si="11"/>
        <v>5405759.3300000001</v>
      </c>
      <c r="H271" s="42">
        <f t="shared" si="11"/>
        <v>3597853.1500000004</v>
      </c>
      <c r="I271" s="42">
        <f t="shared" si="11"/>
        <v>1016792.8899999999</v>
      </c>
      <c r="J271" s="42">
        <f t="shared" si="11"/>
        <v>518674.4</v>
      </c>
      <c r="K271" s="42">
        <f t="shared" si="11"/>
        <v>1842167.27</v>
      </c>
      <c r="L271" s="42">
        <f t="shared" si="11"/>
        <v>23526296.239999998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161643.20000000001</v>
      </c>
      <c r="G276" s="18">
        <v>74625.05</v>
      </c>
      <c r="H276" s="18">
        <v>16922.71</v>
      </c>
      <c r="I276" s="18">
        <v>10739.41</v>
      </c>
      <c r="J276" s="18">
        <v>30808.1</v>
      </c>
      <c r="K276" s="18"/>
      <c r="L276" s="19">
        <f>SUM(F276:K276)</f>
        <v>294738.46999999997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90455.679999999993</v>
      </c>
      <c r="G277" s="18">
        <v>232.56</v>
      </c>
      <c r="H277" s="18">
        <v>35881.14</v>
      </c>
      <c r="I277" s="18">
        <v>2861.83</v>
      </c>
      <c r="J277" s="18"/>
      <c r="K277" s="18"/>
      <c r="L277" s="19">
        <f>SUM(F277:K277)</f>
        <v>129431.20999999999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55944.75</v>
      </c>
      <c r="G281" s="18">
        <v>1130.29</v>
      </c>
      <c r="H281" s="18">
        <v>58.79</v>
      </c>
      <c r="I281" s="18"/>
      <c r="J281" s="18"/>
      <c r="K281" s="18"/>
      <c r="L281" s="19">
        <f t="shared" ref="L281:L287" si="12">SUM(F281:K281)</f>
        <v>57133.83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9549.3700000000008</v>
      </c>
      <c r="G282" s="18">
        <v>2194.62</v>
      </c>
      <c r="H282" s="18">
        <v>44478.02</v>
      </c>
      <c r="I282" s="18">
        <v>1233.53</v>
      </c>
      <c r="J282" s="18"/>
      <c r="K282" s="18"/>
      <c r="L282" s="19">
        <f t="shared" si="12"/>
        <v>57455.539999999994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>
        <v>2007.96</v>
      </c>
      <c r="L284" s="19">
        <f t="shared" si="12"/>
        <v>2007.96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1121.9000000000001</v>
      </c>
      <c r="I286" s="18">
        <v>204.38</v>
      </c>
      <c r="J286" s="18"/>
      <c r="K286" s="18"/>
      <c r="L286" s="19">
        <f t="shared" si="12"/>
        <v>1326.2800000000002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8202.36</v>
      </c>
      <c r="I287" s="18"/>
      <c r="J287" s="18"/>
      <c r="K287" s="18"/>
      <c r="L287" s="19">
        <f t="shared" si="12"/>
        <v>8202.36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317593</v>
      </c>
      <c r="G290" s="42">
        <f t="shared" si="13"/>
        <v>78182.51999999999</v>
      </c>
      <c r="H290" s="42">
        <f t="shared" si="13"/>
        <v>106664.92</v>
      </c>
      <c r="I290" s="42">
        <f t="shared" si="13"/>
        <v>15039.15</v>
      </c>
      <c r="J290" s="42">
        <f t="shared" si="13"/>
        <v>30808.1</v>
      </c>
      <c r="K290" s="42">
        <f t="shared" si="13"/>
        <v>2007.96</v>
      </c>
      <c r="L290" s="41">
        <f t="shared" si="13"/>
        <v>550295.64999999991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69889.73</v>
      </c>
      <c r="G295" s="18">
        <v>34404.26</v>
      </c>
      <c r="H295" s="18">
        <v>7452.1</v>
      </c>
      <c r="I295" s="18">
        <v>3599.34</v>
      </c>
      <c r="J295" s="18"/>
      <c r="K295" s="18"/>
      <c r="L295" s="19">
        <f>SUM(F295:K295)</f>
        <v>115345.43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41323</v>
      </c>
      <c r="G296" s="18">
        <v>232.56</v>
      </c>
      <c r="H296" s="18">
        <v>21512.78</v>
      </c>
      <c r="I296" s="18">
        <v>2378.56</v>
      </c>
      <c r="J296" s="18"/>
      <c r="K296" s="18"/>
      <c r="L296" s="19">
        <f>SUM(F296:K296)</f>
        <v>65446.899999999994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39497.71</v>
      </c>
      <c r="G300" s="18">
        <v>1130.29</v>
      </c>
      <c r="H300" s="18">
        <v>58.79</v>
      </c>
      <c r="I300" s="18"/>
      <c r="J300" s="18"/>
      <c r="K300" s="18"/>
      <c r="L300" s="19">
        <f t="shared" ref="L300:L306" si="14">SUM(F300:K300)</f>
        <v>40686.79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5712.09</v>
      </c>
      <c r="G301" s="18">
        <v>1312.74</v>
      </c>
      <c r="H301" s="18">
        <v>30543.69</v>
      </c>
      <c r="I301" s="18">
        <v>737.85</v>
      </c>
      <c r="J301" s="18"/>
      <c r="K301" s="18"/>
      <c r="L301" s="19">
        <f t="shared" si="14"/>
        <v>38306.369999999995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2400</v>
      </c>
      <c r="G302" s="18">
        <v>557.12</v>
      </c>
      <c r="H302" s="18"/>
      <c r="I302" s="18"/>
      <c r="J302" s="18"/>
      <c r="K302" s="18"/>
      <c r="L302" s="19">
        <f t="shared" si="14"/>
        <v>2957.12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774.13</v>
      </c>
      <c r="I305" s="18">
        <v>121.66</v>
      </c>
      <c r="J305" s="18"/>
      <c r="K305" s="18"/>
      <c r="L305" s="19">
        <f t="shared" si="14"/>
        <v>895.79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4985.67</v>
      </c>
      <c r="I306" s="18"/>
      <c r="J306" s="18"/>
      <c r="K306" s="18"/>
      <c r="L306" s="19">
        <f t="shared" si="14"/>
        <v>4985.67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158822.53</v>
      </c>
      <c r="G309" s="42">
        <f t="shared" si="15"/>
        <v>37636.97</v>
      </c>
      <c r="H309" s="42">
        <f t="shared" si="15"/>
        <v>65327.159999999996</v>
      </c>
      <c r="I309" s="42">
        <f t="shared" si="15"/>
        <v>6837.41</v>
      </c>
      <c r="J309" s="42">
        <f t="shared" si="15"/>
        <v>0</v>
      </c>
      <c r="K309" s="42">
        <f t="shared" si="15"/>
        <v>0</v>
      </c>
      <c r="L309" s="41">
        <f t="shared" si="15"/>
        <v>268624.06999999995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3313.71</v>
      </c>
      <c r="G314" s="18">
        <v>0</v>
      </c>
      <c r="H314" s="18">
        <v>1330.12</v>
      </c>
      <c r="I314" s="18">
        <v>259.89</v>
      </c>
      <c r="J314" s="18"/>
      <c r="K314" s="18"/>
      <c r="L314" s="19">
        <f>SUM(F314:K314)</f>
        <v>4903.72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43742.99</v>
      </c>
      <c r="G315" s="18"/>
      <c r="H315" s="18">
        <v>28321.03</v>
      </c>
      <c r="I315" s="18"/>
      <c r="J315" s="18"/>
      <c r="K315" s="18"/>
      <c r="L315" s="19">
        <f>SUM(F315:K315)</f>
        <v>72064.01999999999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18680</v>
      </c>
      <c r="G316" s="18"/>
      <c r="H316" s="18">
        <v>26015.9</v>
      </c>
      <c r="I316" s="18">
        <v>8486.51</v>
      </c>
      <c r="J316" s="18">
        <v>5460.95</v>
      </c>
      <c r="K316" s="18">
        <v>1356.25</v>
      </c>
      <c r="L316" s="19">
        <f>SUM(F316:K316)</f>
        <v>59999.61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v>210</v>
      </c>
      <c r="K317" s="18"/>
      <c r="L317" s="19">
        <f>SUM(F317:K317)</f>
        <v>210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32418.26</v>
      </c>
      <c r="G319" s="18"/>
      <c r="H319" s="18"/>
      <c r="I319" s="18"/>
      <c r="J319" s="18"/>
      <c r="K319" s="18"/>
      <c r="L319" s="19">
        <f t="shared" ref="L319:L325" si="16">SUM(F319:K319)</f>
        <v>32418.26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7563.54</v>
      </c>
      <c r="G320" s="18">
        <v>1738.24</v>
      </c>
      <c r="H320" s="18">
        <v>31929.22</v>
      </c>
      <c r="I320" s="18">
        <v>977.01</v>
      </c>
      <c r="J320" s="18"/>
      <c r="K320" s="18"/>
      <c r="L320" s="19">
        <f t="shared" si="16"/>
        <v>42208.01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937.79</v>
      </c>
      <c r="I324" s="18">
        <v>229.24</v>
      </c>
      <c r="J324" s="18"/>
      <c r="K324" s="18"/>
      <c r="L324" s="19">
        <f t="shared" si="16"/>
        <v>1167.03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6811.97</v>
      </c>
      <c r="I325" s="18"/>
      <c r="J325" s="18"/>
      <c r="K325" s="18"/>
      <c r="L325" s="19">
        <f t="shared" si="16"/>
        <v>6811.97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105718.49999999999</v>
      </c>
      <c r="G328" s="42">
        <f t="shared" si="17"/>
        <v>1738.24</v>
      </c>
      <c r="H328" s="42">
        <f t="shared" si="17"/>
        <v>95346.03</v>
      </c>
      <c r="I328" s="42">
        <f t="shared" si="17"/>
        <v>9952.65</v>
      </c>
      <c r="J328" s="42">
        <f t="shared" si="17"/>
        <v>5670.95</v>
      </c>
      <c r="K328" s="42">
        <f t="shared" si="17"/>
        <v>1356.25</v>
      </c>
      <c r="L328" s="41">
        <f t="shared" si="17"/>
        <v>219782.62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582134.03</v>
      </c>
      <c r="G338" s="41">
        <f t="shared" si="20"/>
        <v>117557.73</v>
      </c>
      <c r="H338" s="41">
        <f t="shared" si="20"/>
        <v>267338.11</v>
      </c>
      <c r="I338" s="41">
        <f t="shared" si="20"/>
        <v>31829.21</v>
      </c>
      <c r="J338" s="41">
        <f t="shared" si="20"/>
        <v>36479.049999999996</v>
      </c>
      <c r="K338" s="41">
        <f t="shared" si="20"/>
        <v>3364.21</v>
      </c>
      <c r="L338" s="41">
        <f t="shared" si="20"/>
        <v>1038702.3399999999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3440.35</v>
      </c>
      <c r="L344" s="19">
        <f t="shared" ref="L344:L350" si="21">SUM(F344:K344)</f>
        <v>3440.35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3440.35</v>
      </c>
      <c r="L351" s="41">
        <f>SUM(L341:L350)</f>
        <v>3440.35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582134.03</v>
      </c>
      <c r="G352" s="41">
        <f>G338</f>
        <v>117557.73</v>
      </c>
      <c r="H352" s="41">
        <f>H338</f>
        <v>267338.11</v>
      </c>
      <c r="I352" s="41">
        <f>I338</f>
        <v>31829.21</v>
      </c>
      <c r="J352" s="41">
        <f>J338</f>
        <v>36479.049999999996</v>
      </c>
      <c r="K352" s="47">
        <f>K338+K351</f>
        <v>6804.5599999999995</v>
      </c>
      <c r="L352" s="41">
        <f>L338+L351</f>
        <v>1042142.6899999998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101895.44</v>
      </c>
      <c r="G358" s="18">
        <v>26041.200000000001</v>
      </c>
      <c r="H358" s="18">
        <v>2930.2</v>
      </c>
      <c r="I358" s="18">
        <v>145157.23000000001</v>
      </c>
      <c r="J358" s="18">
        <v>8463.32</v>
      </c>
      <c r="K358" s="18">
        <v>1709.66</v>
      </c>
      <c r="L358" s="13">
        <f>SUM(F358:K358)</f>
        <v>286197.05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64824.3</v>
      </c>
      <c r="G359" s="18">
        <v>8290.1</v>
      </c>
      <c r="H359" s="18">
        <v>1752.74</v>
      </c>
      <c r="I359" s="18">
        <v>72868.84</v>
      </c>
      <c r="J359" s="18">
        <v>5062.45</v>
      </c>
      <c r="K359" s="18">
        <v>1022.66</v>
      </c>
      <c r="L359" s="19">
        <f>SUM(F359:K359)</f>
        <v>153821.09000000003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77600.639999999999</v>
      </c>
      <c r="G360" s="18">
        <v>13337.26</v>
      </c>
      <c r="H360" s="18">
        <v>2320.85</v>
      </c>
      <c r="I360" s="18">
        <v>96487.7</v>
      </c>
      <c r="J360" s="18">
        <v>6703.34</v>
      </c>
      <c r="K360" s="18">
        <v>1354.13</v>
      </c>
      <c r="L360" s="19">
        <f>SUM(F360:K360)</f>
        <v>197803.92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244320.38</v>
      </c>
      <c r="G362" s="47">
        <f t="shared" si="22"/>
        <v>47668.560000000005</v>
      </c>
      <c r="H362" s="47">
        <f t="shared" si="22"/>
        <v>7003.7899999999991</v>
      </c>
      <c r="I362" s="47">
        <f t="shared" si="22"/>
        <v>314513.77</v>
      </c>
      <c r="J362" s="47">
        <f t="shared" si="22"/>
        <v>20229.11</v>
      </c>
      <c r="K362" s="47">
        <f t="shared" si="22"/>
        <v>4086.4500000000003</v>
      </c>
      <c r="L362" s="47">
        <f t="shared" si="22"/>
        <v>637822.06000000006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137765.88</v>
      </c>
      <c r="G367" s="18">
        <v>68717.119999999995</v>
      </c>
      <c r="H367" s="18">
        <v>90990.3</v>
      </c>
      <c r="I367" s="56">
        <f>SUM(F367:H367)</f>
        <v>297473.3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7391.34</v>
      </c>
      <c r="G368" s="63">
        <v>4151.72</v>
      </c>
      <c r="H368" s="63">
        <v>5497.41</v>
      </c>
      <c r="I368" s="56">
        <f>SUM(F368:H368)</f>
        <v>17040.47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145157.22</v>
      </c>
      <c r="G369" s="47">
        <f>SUM(G367:G368)</f>
        <v>72868.84</v>
      </c>
      <c r="H369" s="47">
        <f>SUM(H367:H368)</f>
        <v>96487.71</v>
      </c>
      <c r="I369" s="47">
        <f>SUM(I367:I368)</f>
        <v>314513.77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450000</v>
      </c>
      <c r="H389" s="18">
        <v>1543.52</v>
      </c>
      <c r="I389" s="18"/>
      <c r="J389" s="24" t="s">
        <v>289</v>
      </c>
      <c r="K389" s="24" t="s">
        <v>289</v>
      </c>
      <c r="L389" s="56">
        <f t="shared" si="25"/>
        <v>451543.52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2.09</v>
      </c>
      <c r="I392" s="18"/>
      <c r="J392" s="24" t="s">
        <v>289</v>
      </c>
      <c r="K392" s="24" t="s">
        <v>289</v>
      </c>
      <c r="L392" s="56">
        <f t="shared" si="25"/>
        <v>2.09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450000</v>
      </c>
      <c r="H393" s="139">
        <f>SUM(H387:H392)</f>
        <v>1545.61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451545.61000000004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40000</v>
      </c>
      <c r="H396" s="18">
        <v>146.35</v>
      </c>
      <c r="I396" s="18"/>
      <c r="J396" s="24" t="s">
        <v>289</v>
      </c>
      <c r="K396" s="24" t="s">
        <v>289</v>
      </c>
      <c r="L396" s="56">
        <f t="shared" si="26"/>
        <v>40146.35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196.33</v>
      </c>
      <c r="I397" s="18"/>
      <c r="J397" s="24" t="s">
        <v>289</v>
      </c>
      <c r="K397" s="24" t="s">
        <v>289</v>
      </c>
      <c r="L397" s="56">
        <f t="shared" si="26"/>
        <v>196.33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342.68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40342.68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490000</v>
      </c>
      <c r="H408" s="47">
        <f>H393+H401+H407</f>
        <v>1888.29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491888.29000000004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404493.63</v>
      </c>
      <c r="I415" s="18"/>
      <c r="J415" s="18"/>
      <c r="K415" s="18"/>
      <c r="L415" s="56">
        <f t="shared" si="27"/>
        <v>404493.63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404493.63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404493.63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404493.63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404493.63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1150819.79</v>
      </c>
      <c r="H439" s="18"/>
      <c r="I439" s="56">
        <f t="shared" ref="I439:I445" si="33">SUM(F439:H439)</f>
        <v>1150819.79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>
        <v>60197.74</v>
      </c>
      <c r="H444" s="18"/>
      <c r="I444" s="56">
        <f t="shared" si="33"/>
        <v>60197.74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1211017.53</v>
      </c>
      <c r="H446" s="13">
        <f>SUM(H439:H445)</f>
        <v>0</v>
      </c>
      <c r="I446" s="13">
        <f>SUM(I439:I445)</f>
        <v>1211017.53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218659.45</v>
      </c>
      <c r="H448" s="18"/>
      <c r="I448" s="56">
        <f>SUM(F448:H448)</f>
        <v>218659.45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218659.45</v>
      </c>
      <c r="H452" s="72">
        <f>SUM(H448:H451)</f>
        <v>0</v>
      </c>
      <c r="I452" s="72">
        <f>SUM(I448:I451)</f>
        <v>218659.45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992358.08</v>
      </c>
      <c r="H459" s="18"/>
      <c r="I459" s="56">
        <f t="shared" si="34"/>
        <v>992358.08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992358.08</v>
      </c>
      <c r="H460" s="83">
        <f>SUM(H454:H459)</f>
        <v>0</v>
      </c>
      <c r="I460" s="83">
        <f>SUM(I454:I459)</f>
        <v>992358.08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1211017.53</v>
      </c>
      <c r="H461" s="42">
        <f>H452+H460</f>
        <v>0</v>
      </c>
      <c r="I461" s="42">
        <f>I452+I460</f>
        <v>1211017.53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1479645.07</v>
      </c>
      <c r="G465" s="18">
        <v>199219.92</v>
      </c>
      <c r="H465" s="18">
        <v>19696.650000000001</v>
      </c>
      <c r="I465" s="18"/>
      <c r="J465" s="18">
        <v>904963.42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23794412.75</v>
      </c>
      <c r="G468" s="18">
        <v>646301.43999999994</v>
      </c>
      <c r="H468" s="18">
        <v>1045597.5</v>
      </c>
      <c r="I468" s="18"/>
      <c r="J468" s="18">
        <v>491888.29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1494.13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23795906.879999999</v>
      </c>
      <c r="G470" s="53">
        <f>SUM(G468:G469)</f>
        <v>646301.43999999994</v>
      </c>
      <c r="H470" s="53">
        <f>SUM(H468:H469)</f>
        <v>1045597.5</v>
      </c>
      <c r="I470" s="53">
        <f>SUM(I468:I469)</f>
        <v>0</v>
      </c>
      <c r="J470" s="53">
        <f>SUM(J468:J469)</f>
        <v>491888.29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23526296.239999998</v>
      </c>
      <c r="G472" s="18">
        <v>637822.06000000006</v>
      </c>
      <c r="H472" s="18">
        <v>1042142.69</v>
      </c>
      <c r="I472" s="18"/>
      <c r="J472" s="18">
        <v>404493.63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23526296.239999998</v>
      </c>
      <c r="G474" s="53">
        <f>SUM(G472:G473)</f>
        <v>637822.06000000006</v>
      </c>
      <c r="H474" s="53">
        <f>SUM(H472:H473)</f>
        <v>1042142.69</v>
      </c>
      <c r="I474" s="53">
        <f>SUM(I472:I473)</f>
        <v>0</v>
      </c>
      <c r="J474" s="53">
        <f>SUM(J472:J473)</f>
        <v>404493.63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1749255.7100000009</v>
      </c>
      <c r="G476" s="53">
        <f>(G465+G470)- G474</f>
        <v>207699.29999999993</v>
      </c>
      <c r="H476" s="53">
        <f>(H465+H470)- H474</f>
        <v>23151.459999999963</v>
      </c>
      <c r="I476" s="53">
        <f>(I465+I470)- I474</f>
        <v>0</v>
      </c>
      <c r="J476" s="53">
        <f>(J465+J470)- J474</f>
        <v>992358.08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15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8625000</v>
      </c>
      <c r="G493" s="18">
        <v>3396240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3.19</v>
      </c>
      <c r="G494" s="18">
        <v>1.4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5805000</v>
      </c>
      <c r="G495" s="18">
        <v>2283458</v>
      </c>
      <c r="H495" s="18"/>
      <c r="I495" s="18"/>
      <c r="J495" s="18"/>
      <c r="K495" s="53">
        <f>SUM(F495:J495)</f>
        <v>8088458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715587.58</v>
      </c>
      <c r="G496" s="18">
        <v>177042</v>
      </c>
      <c r="H496" s="18"/>
      <c r="I496" s="18"/>
      <c r="J496" s="18"/>
      <c r="K496" s="53">
        <f t="shared" ref="K496:K503" si="35">SUM(F496:J496)</f>
        <v>892629.58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870000</v>
      </c>
      <c r="G497" s="18">
        <v>223703</v>
      </c>
      <c r="H497" s="18"/>
      <c r="I497" s="18"/>
      <c r="J497" s="18"/>
      <c r="K497" s="53">
        <f t="shared" si="35"/>
        <v>1093703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4935000</v>
      </c>
      <c r="G498" s="204">
        <v>2059755</v>
      </c>
      <c r="H498" s="204"/>
      <c r="I498" s="204"/>
      <c r="J498" s="204"/>
      <c r="K498" s="205">
        <f t="shared" si="35"/>
        <v>6994755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538912.57999999996</v>
      </c>
      <c r="G499" s="18">
        <v>145074</v>
      </c>
      <c r="H499" s="18"/>
      <c r="I499" s="18"/>
      <c r="J499" s="18"/>
      <c r="K499" s="53">
        <f t="shared" si="35"/>
        <v>683986.58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5473912.5800000001</v>
      </c>
      <c r="G500" s="42">
        <f>SUM(G498:G499)</f>
        <v>2204829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7678741.5800000001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855000</v>
      </c>
      <c r="G501" s="204">
        <v>224674</v>
      </c>
      <c r="H501" s="204"/>
      <c r="I501" s="204"/>
      <c r="J501" s="204"/>
      <c r="K501" s="205">
        <f t="shared" si="35"/>
        <v>1079674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155150.07999999999</v>
      </c>
      <c r="G502" s="18">
        <v>28837</v>
      </c>
      <c r="H502" s="18"/>
      <c r="I502" s="18"/>
      <c r="J502" s="18"/>
      <c r="K502" s="53">
        <f t="shared" si="35"/>
        <v>183987.08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1010150.08</v>
      </c>
      <c r="G503" s="42">
        <f>SUM(G501:G502)</f>
        <v>253511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1263661.08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836315.63</v>
      </c>
      <c r="G521" s="18">
        <v>315295.81</v>
      </c>
      <c r="H521" s="18">
        <v>449903.71</v>
      </c>
      <c r="I521" s="18">
        <v>11249.67</v>
      </c>
      <c r="J521" s="18">
        <v>15345.53</v>
      </c>
      <c r="K521" s="18">
        <v>984.07</v>
      </c>
      <c r="L521" s="88">
        <f>SUM(F521:K521)</f>
        <v>1629094.42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295484.48</v>
      </c>
      <c r="G522" s="18">
        <v>93730.1</v>
      </c>
      <c r="H522" s="18">
        <v>295215.77</v>
      </c>
      <c r="I522" s="18">
        <v>4320.4799999999996</v>
      </c>
      <c r="J522" s="18">
        <v>19318.990000000002</v>
      </c>
      <c r="K522" s="18">
        <v>278.79000000000002</v>
      </c>
      <c r="L522" s="88">
        <f>SUM(F522:K522)</f>
        <v>708348.61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506526.38</v>
      </c>
      <c r="G523" s="18">
        <v>158543.74</v>
      </c>
      <c r="H523" s="18">
        <v>562413.63</v>
      </c>
      <c r="I523" s="18">
        <v>3759.37</v>
      </c>
      <c r="J523" s="18">
        <v>16485.97</v>
      </c>
      <c r="K523" s="18">
        <v>369.15</v>
      </c>
      <c r="L523" s="88">
        <f>SUM(F523:K523)</f>
        <v>1248098.24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1638326.4899999998</v>
      </c>
      <c r="G524" s="108">
        <f t="shared" ref="G524:L524" si="36">SUM(G521:G523)</f>
        <v>567569.65</v>
      </c>
      <c r="H524" s="108">
        <f t="shared" si="36"/>
        <v>1307533.1099999999</v>
      </c>
      <c r="I524" s="108">
        <f t="shared" si="36"/>
        <v>19329.52</v>
      </c>
      <c r="J524" s="108">
        <f t="shared" si="36"/>
        <v>51150.490000000005</v>
      </c>
      <c r="K524" s="108">
        <f t="shared" si="36"/>
        <v>1632.0100000000002</v>
      </c>
      <c r="L524" s="89">
        <f t="shared" si="36"/>
        <v>3585541.2699999996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134309.71</v>
      </c>
      <c r="G526" s="18">
        <v>46948.04</v>
      </c>
      <c r="H526" s="18">
        <v>22828.13</v>
      </c>
      <c r="I526" s="18">
        <v>3261.26</v>
      </c>
      <c r="J526" s="18">
        <v>1022.83</v>
      </c>
      <c r="K526" s="18"/>
      <c r="L526" s="88">
        <f>SUM(F526:K526)</f>
        <v>208369.97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80339.27</v>
      </c>
      <c r="G527" s="18">
        <v>28082.639999999999</v>
      </c>
      <c r="H527" s="18">
        <v>13654.97</v>
      </c>
      <c r="I527" s="18">
        <v>1950.77</v>
      </c>
      <c r="J527" s="18">
        <v>611.82000000000005</v>
      </c>
      <c r="K527" s="18"/>
      <c r="L527" s="88">
        <f>SUM(F527:K527)</f>
        <v>124639.47000000002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106379.51</v>
      </c>
      <c r="G528" s="18">
        <v>37185.019999999997</v>
      </c>
      <c r="H528" s="18">
        <v>18080.93</v>
      </c>
      <c r="I528" s="18">
        <v>2583.0700000000002</v>
      </c>
      <c r="J528" s="18">
        <v>810.13</v>
      </c>
      <c r="K528" s="18"/>
      <c r="L528" s="88">
        <f>SUM(F528:K528)</f>
        <v>165038.66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321028.49</v>
      </c>
      <c r="G529" s="89">
        <f t="shared" ref="G529:L529" si="37">SUM(G526:G528)</f>
        <v>112215.69999999998</v>
      </c>
      <c r="H529" s="89">
        <f t="shared" si="37"/>
        <v>54564.03</v>
      </c>
      <c r="I529" s="89">
        <f t="shared" si="37"/>
        <v>7795.1</v>
      </c>
      <c r="J529" s="89">
        <f t="shared" si="37"/>
        <v>2444.7800000000002</v>
      </c>
      <c r="K529" s="89">
        <f t="shared" si="37"/>
        <v>0</v>
      </c>
      <c r="L529" s="89">
        <f t="shared" si="37"/>
        <v>498048.1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107264.4</v>
      </c>
      <c r="G531" s="18">
        <v>51754.19</v>
      </c>
      <c r="H531" s="18"/>
      <c r="I531" s="18"/>
      <c r="J531" s="18"/>
      <c r="K531" s="18"/>
      <c r="L531" s="88">
        <f>SUM(F531:K531)</f>
        <v>159018.59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64161.73</v>
      </c>
      <c r="G532" s="18">
        <v>30957.51</v>
      </c>
      <c r="H532" s="18"/>
      <c r="I532" s="18"/>
      <c r="J532" s="18"/>
      <c r="K532" s="18"/>
      <c r="L532" s="88">
        <f>SUM(F532:K532)</f>
        <v>95119.24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84958.37</v>
      </c>
      <c r="G533" s="18">
        <v>40991.72</v>
      </c>
      <c r="H533" s="18"/>
      <c r="I533" s="18"/>
      <c r="J533" s="18"/>
      <c r="K533" s="18"/>
      <c r="L533" s="88">
        <f>SUM(F533:K533)</f>
        <v>125950.09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256384.5</v>
      </c>
      <c r="G534" s="89">
        <f t="shared" ref="G534:L534" si="38">SUM(G531:G533)</f>
        <v>123703.42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380087.92000000004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2149.66</v>
      </c>
      <c r="I536" s="18"/>
      <c r="J536" s="18"/>
      <c r="K536" s="18"/>
      <c r="L536" s="88">
        <f>SUM(F536:K536)</f>
        <v>2149.66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1285.8499999999999</v>
      </c>
      <c r="I537" s="18"/>
      <c r="J537" s="18"/>
      <c r="K537" s="18"/>
      <c r="L537" s="88">
        <f>SUM(F537:K537)</f>
        <v>1285.8499999999999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1702.63</v>
      </c>
      <c r="I538" s="18"/>
      <c r="J538" s="18"/>
      <c r="K538" s="18"/>
      <c r="L538" s="88">
        <f>SUM(F538:K538)</f>
        <v>1702.63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5138.1399999999994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5138.1399999999994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90430.67</v>
      </c>
      <c r="I541" s="18"/>
      <c r="J541" s="18"/>
      <c r="K541" s="18"/>
      <c r="L541" s="88">
        <f>SUM(F541:K541)</f>
        <v>90430.67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54092.39</v>
      </c>
      <c r="I542" s="18"/>
      <c r="J542" s="18"/>
      <c r="K542" s="18"/>
      <c r="L542" s="88">
        <f>SUM(F542:K542)</f>
        <v>54092.39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71625.279999999999</v>
      </c>
      <c r="I543" s="18"/>
      <c r="J543" s="18"/>
      <c r="K543" s="18"/>
      <c r="L543" s="88">
        <f>SUM(F543:K543)</f>
        <v>71625.279999999999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216148.34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216148.34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2215739.4799999995</v>
      </c>
      <c r="G545" s="89">
        <f t="shared" ref="G545:L545" si="41">G524+G529+G534+G539+G544</f>
        <v>803488.77</v>
      </c>
      <c r="H545" s="89">
        <f t="shared" si="41"/>
        <v>1583383.6199999999</v>
      </c>
      <c r="I545" s="89">
        <f t="shared" si="41"/>
        <v>27124.620000000003</v>
      </c>
      <c r="J545" s="89">
        <f t="shared" si="41"/>
        <v>53595.270000000004</v>
      </c>
      <c r="K545" s="89">
        <f t="shared" si="41"/>
        <v>1632.0100000000002</v>
      </c>
      <c r="L545" s="89">
        <f t="shared" si="41"/>
        <v>4684963.7699999996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1629094.42</v>
      </c>
      <c r="G549" s="87">
        <f>L526</f>
        <v>208369.97</v>
      </c>
      <c r="H549" s="87">
        <f>L531</f>
        <v>159018.59</v>
      </c>
      <c r="I549" s="87">
        <f>L536</f>
        <v>2149.66</v>
      </c>
      <c r="J549" s="87">
        <f>L541</f>
        <v>90430.67</v>
      </c>
      <c r="K549" s="87">
        <f>SUM(F549:J549)</f>
        <v>2089063.3099999998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708348.61</v>
      </c>
      <c r="G550" s="87">
        <f>L527</f>
        <v>124639.47000000002</v>
      </c>
      <c r="H550" s="87">
        <f>L532</f>
        <v>95119.24</v>
      </c>
      <c r="I550" s="87">
        <f>L537</f>
        <v>1285.8499999999999</v>
      </c>
      <c r="J550" s="87">
        <f>L542</f>
        <v>54092.39</v>
      </c>
      <c r="K550" s="87">
        <f>SUM(F550:J550)</f>
        <v>983485.55999999994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1248098.24</v>
      </c>
      <c r="G551" s="87">
        <f>L528</f>
        <v>165038.66</v>
      </c>
      <c r="H551" s="87">
        <f>L533</f>
        <v>125950.09</v>
      </c>
      <c r="I551" s="87">
        <f>L538</f>
        <v>1702.63</v>
      </c>
      <c r="J551" s="87">
        <f>L543</f>
        <v>71625.279999999999</v>
      </c>
      <c r="K551" s="87">
        <f>SUM(F551:J551)</f>
        <v>1612414.9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3585541.2699999996</v>
      </c>
      <c r="G552" s="89">
        <f t="shared" si="42"/>
        <v>498048.1</v>
      </c>
      <c r="H552" s="89">
        <f t="shared" si="42"/>
        <v>380087.92000000004</v>
      </c>
      <c r="I552" s="89">
        <f t="shared" si="42"/>
        <v>5138.1399999999994</v>
      </c>
      <c r="J552" s="89">
        <f t="shared" si="42"/>
        <v>216148.34</v>
      </c>
      <c r="K552" s="89">
        <f t="shared" si="42"/>
        <v>4684963.7699999996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164331.75</v>
      </c>
      <c r="G557" s="18">
        <v>75885</v>
      </c>
      <c r="H557" s="18">
        <v>28034.51</v>
      </c>
      <c r="I557" s="18">
        <v>12734.41</v>
      </c>
      <c r="J557" s="18">
        <v>24454.09</v>
      </c>
      <c r="K557" s="18"/>
      <c r="L557" s="88">
        <f>SUM(F557:K557)</f>
        <v>305439.76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91537.17</v>
      </c>
      <c r="G558" s="18">
        <v>36427.129999999997</v>
      </c>
      <c r="H558" s="18">
        <v>17825.169999999998</v>
      </c>
      <c r="I558" s="18">
        <v>4298.57</v>
      </c>
      <c r="J558" s="18">
        <v>6354.01</v>
      </c>
      <c r="K558" s="18"/>
      <c r="L558" s="88">
        <f>SUM(F558:K558)</f>
        <v>156442.04999999999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>
        <v>6811.97</v>
      </c>
      <c r="I559" s="18"/>
      <c r="J559" s="18"/>
      <c r="K559" s="18"/>
      <c r="L559" s="88">
        <f>SUM(F559:K559)</f>
        <v>6811.97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255868.91999999998</v>
      </c>
      <c r="G560" s="108">
        <f t="shared" si="43"/>
        <v>112312.13</v>
      </c>
      <c r="H560" s="108">
        <f t="shared" si="43"/>
        <v>52671.649999999994</v>
      </c>
      <c r="I560" s="108">
        <f t="shared" si="43"/>
        <v>17032.98</v>
      </c>
      <c r="J560" s="108">
        <f t="shared" si="43"/>
        <v>30808.1</v>
      </c>
      <c r="K560" s="108">
        <f t="shared" si="43"/>
        <v>0</v>
      </c>
      <c r="L560" s="89">
        <f t="shared" si="43"/>
        <v>468693.77999999997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19304.990000000002</v>
      </c>
      <c r="G562" s="18">
        <v>8483.14</v>
      </c>
      <c r="H562" s="18"/>
      <c r="I562" s="18">
        <v>31.62</v>
      </c>
      <c r="J562" s="18"/>
      <c r="K562" s="18"/>
      <c r="L562" s="88">
        <f>SUM(F562:K562)</f>
        <v>27819.75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11547.56</v>
      </c>
      <c r="G563" s="18">
        <v>5074.3100000000004</v>
      </c>
      <c r="H563" s="18"/>
      <c r="I563" s="18">
        <v>18.91</v>
      </c>
      <c r="J563" s="18"/>
      <c r="K563" s="18"/>
      <c r="L563" s="88">
        <f>SUM(F563:K563)</f>
        <v>16640.78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15290.45</v>
      </c>
      <c r="G564" s="18">
        <v>6719.04</v>
      </c>
      <c r="H564" s="18"/>
      <c r="I564" s="18">
        <v>25.05</v>
      </c>
      <c r="J564" s="18"/>
      <c r="K564" s="18"/>
      <c r="L564" s="88">
        <f>SUM(F564:K564)</f>
        <v>22034.54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46143</v>
      </c>
      <c r="G565" s="89">
        <f t="shared" si="44"/>
        <v>20276.490000000002</v>
      </c>
      <c r="H565" s="89">
        <f t="shared" si="44"/>
        <v>0</v>
      </c>
      <c r="I565" s="89">
        <f t="shared" si="44"/>
        <v>75.58</v>
      </c>
      <c r="J565" s="89">
        <f t="shared" si="44"/>
        <v>0</v>
      </c>
      <c r="K565" s="89">
        <f t="shared" si="44"/>
        <v>0</v>
      </c>
      <c r="L565" s="89">
        <f t="shared" si="44"/>
        <v>66495.070000000007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302011.92</v>
      </c>
      <c r="G571" s="89">
        <f t="shared" ref="G571:L571" si="46">G560+G565+G570</f>
        <v>132588.62</v>
      </c>
      <c r="H571" s="89">
        <f t="shared" si="46"/>
        <v>52671.649999999994</v>
      </c>
      <c r="I571" s="89">
        <f t="shared" si="46"/>
        <v>17108.560000000001</v>
      </c>
      <c r="J571" s="89">
        <f t="shared" si="46"/>
        <v>30808.1</v>
      </c>
      <c r="K571" s="89">
        <f t="shared" si="46"/>
        <v>0</v>
      </c>
      <c r="L571" s="89">
        <f t="shared" si="46"/>
        <v>535188.85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63376.5</v>
      </c>
      <c r="I575" s="87">
        <f>SUM(F575:H575)</f>
        <v>63376.5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72946.2</v>
      </c>
      <c r="I579" s="87">
        <f t="shared" si="47"/>
        <v>72946.2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89517.24</v>
      </c>
      <c r="G582" s="18">
        <v>23475.83</v>
      </c>
      <c r="H582" s="18">
        <v>53221.78</v>
      </c>
      <c r="I582" s="87">
        <f t="shared" si="47"/>
        <v>166214.85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154888.15</v>
      </c>
      <c r="I584" s="87">
        <f t="shared" si="47"/>
        <v>154888.15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321927.95</v>
      </c>
      <c r="I591" s="18">
        <v>192565.8</v>
      </c>
      <c r="J591" s="18">
        <v>254981.84</v>
      </c>
      <c r="K591" s="104">
        <f t="shared" ref="K591:K597" si="48">SUM(H591:J591)</f>
        <v>769475.59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90430.67</v>
      </c>
      <c r="I592" s="18">
        <v>54092.39</v>
      </c>
      <c r="J592" s="18">
        <v>54610.28</v>
      </c>
      <c r="K592" s="104">
        <f t="shared" si="48"/>
        <v>199133.34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17015</v>
      </c>
      <c r="K593" s="104">
        <f t="shared" si="48"/>
        <v>17015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14458.24</v>
      </c>
      <c r="J594" s="18">
        <v>44692.23</v>
      </c>
      <c r="K594" s="104">
        <f t="shared" si="48"/>
        <v>59150.47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7131.56</v>
      </c>
      <c r="I595" s="18">
        <v>5361.81</v>
      </c>
      <c r="J595" s="18">
        <v>5749.27</v>
      </c>
      <c r="K595" s="104">
        <f t="shared" si="48"/>
        <v>18242.64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419490.18</v>
      </c>
      <c r="I598" s="108">
        <f>SUM(I591:I597)</f>
        <v>266478.24</v>
      </c>
      <c r="J598" s="108">
        <f>SUM(J591:J597)</f>
        <v>377048.62</v>
      </c>
      <c r="K598" s="108">
        <f>SUM(K591:K597)</f>
        <v>1063017.0399999998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203757.52</v>
      </c>
      <c r="I604" s="18">
        <v>140464.57</v>
      </c>
      <c r="J604" s="18">
        <v>210931.36</v>
      </c>
      <c r="K604" s="104">
        <f>SUM(H604:J604)</f>
        <v>555153.44999999995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203757.52</v>
      </c>
      <c r="I605" s="108">
        <f>SUM(I602:I604)</f>
        <v>140464.57</v>
      </c>
      <c r="J605" s="108">
        <f>SUM(J602:J604)</f>
        <v>210931.36</v>
      </c>
      <c r="K605" s="108">
        <f>SUM(K602:K604)</f>
        <v>555153.44999999995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22735.119999999999</v>
      </c>
      <c r="G611" s="18">
        <v>4245.12</v>
      </c>
      <c r="H611" s="18"/>
      <c r="I611" s="18"/>
      <c r="J611" s="18"/>
      <c r="K611" s="18"/>
      <c r="L611" s="88">
        <f>SUM(F611:K611)</f>
        <v>26980.239999999998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20161.84</v>
      </c>
      <c r="G612" s="18">
        <v>3845.42</v>
      </c>
      <c r="H612" s="18"/>
      <c r="I612" s="18">
        <v>227.88</v>
      </c>
      <c r="J612" s="18"/>
      <c r="K612" s="18"/>
      <c r="L612" s="88">
        <f>SUM(F612:K612)</f>
        <v>24235.140000000003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46007.27</v>
      </c>
      <c r="G613" s="18">
        <v>9217.69</v>
      </c>
      <c r="H613" s="18"/>
      <c r="I613" s="18"/>
      <c r="J613" s="18"/>
      <c r="K613" s="18"/>
      <c r="L613" s="88">
        <f>SUM(F613:K613)</f>
        <v>55224.959999999999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88904.23</v>
      </c>
      <c r="G614" s="108">
        <f t="shared" si="49"/>
        <v>17308.23</v>
      </c>
      <c r="H614" s="108">
        <f t="shared" si="49"/>
        <v>0</v>
      </c>
      <c r="I614" s="108">
        <f t="shared" si="49"/>
        <v>227.88</v>
      </c>
      <c r="J614" s="108">
        <f t="shared" si="49"/>
        <v>0</v>
      </c>
      <c r="K614" s="108">
        <f t="shared" si="49"/>
        <v>0</v>
      </c>
      <c r="L614" s="89">
        <f t="shared" si="49"/>
        <v>106440.34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2676848.29</v>
      </c>
      <c r="H617" s="109">
        <f>SUM(F52)</f>
        <v>2676848.29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218845.05999999997</v>
      </c>
      <c r="H618" s="109">
        <f>SUM(G52)</f>
        <v>218845.06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305687.27</v>
      </c>
      <c r="H619" s="109">
        <f>SUM(H52)</f>
        <v>305687.27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1211017.53</v>
      </c>
      <c r="H621" s="109">
        <f>SUM(J52)</f>
        <v>1211017.53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1749255.71</v>
      </c>
      <c r="H622" s="109">
        <f>F476</f>
        <v>1749255.7100000009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207699.3</v>
      </c>
      <c r="H623" s="109">
        <f>G476</f>
        <v>207699.29999999993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23151.46</v>
      </c>
      <c r="H624" s="109">
        <f>H476</f>
        <v>23151.459999999963</v>
      </c>
      <c r="I624" s="121" t="s">
        <v>103</v>
      </c>
      <c r="J624" s="109">
        <f t="shared" si="50"/>
        <v>3.637978807091713E-11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992358.08</v>
      </c>
      <c r="H626" s="109">
        <f>J476</f>
        <v>992358.08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23794412.75</v>
      </c>
      <c r="H627" s="104">
        <f>SUM(F468)</f>
        <v>23794412.75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646301.44000000006</v>
      </c>
      <c r="H628" s="104">
        <f>SUM(G468)</f>
        <v>646301.43999999994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1045597.5</v>
      </c>
      <c r="H629" s="104">
        <f>SUM(H468)</f>
        <v>1045597.5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491888.29</v>
      </c>
      <c r="H631" s="104">
        <f>SUM(J468)</f>
        <v>491888.29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23526296.239999998</v>
      </c>
      <c r="H632" s="104">
        <f>SUM(F472)</f>
        <v>23526296.239999998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1042142.6899999998</v>
      </c>
      <c r="H633" s="104">
        <f>SUM(H472)</f>
        <v>1042142.69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314513.77</v>
      </c>
      <c r="H634" s="104">
        <f>I369</f>
        <v>314513.77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637822.06000000006</v>
      </c>
      <c r="H635" s="104">
        <f>SUM(G472)</f>
        <v>637822.06000000006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491888.29000000004</v>
      </c>
      <c r="H637" s="164">
        <f>SUM(J468)</f>
        <v>491888.29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404493.63</v>
      </c>
      <c r="H638" s="164">
        <f>SUM(J472)</f>
        <v>404493.63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1211017.53</v>
      </c>
      <c r="H640" s="104">
        <f>SUM(G461)</f>
        <v>1211017.53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1211017.53</v>
      </c>
      <c r="H642" s="104">
        <f>SUM(I461)</f>
        <v>1211017.53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1888.29</v>
      </c>
      <c r="H644" s="104">
        <f>H408</f>
        <v>1888.29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490000</v>
      </c>
      <c r="H645" s="104">
        <f>G408</f>
        <v>490000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491888.29</v>
      </c>
      <c r="H646" s="104">
        <f>L408</f>
        <v>491888.29000000004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1063017.0399999998</v>
      </c>
      <c r="H647" s="104">
        <f>L208+L226+L244</f>
        <v>1063017.04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555153.44999999995</v>
      </c>
      <c r="H648" s="104">
        <f>(J257+J338)-(J255+J336)</f>
        <v>555153.45000000007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419490.18</v>
      </c>
      <c r="H649" s="104">
        <f>H598</f>
        <v>419490.18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266478.24</v>
      </c>
      <c r="H650" s="104">
        <f>I598</f>
        <v>266478.24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377048.62</v>
      </c>
      <c r="H651" s="104">
        <f>J598</f>
        <v>377048.62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4485.92</v>
      </c>
      <c r="H652" s="104">
        <f>K263+K345</f>
        <v>4485.92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490000</v>
      </c>
      <c r="H655" s="104">
        <f>K266+K347</f>
        <v>490000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9934263.4399999995</v>
      </c>
      <c r="G660" s="19">
        <f>(L229+L309+L359)</f>
        <v>5470937.8000000007</v>
      </c>
      <c r="H660" s="19">
        <f>(L247+L328+L360)</f>
        <v>8000787.4900000002</v>
      </c>
      <c r="I660" s="19">
        <f>SUM(F660:H660)</f>
        <v>23405988.73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137369.21796847461</v>
      </c>
      <c r="G661" s="19">
        <f>(L359/IF(SUM(L358:L360)=0,1,SUM(L358:L360))*(SUM(G97:G110)))</f>
        <v>73831.239142256542</v>
      </c>
      <c r="H661" s="19">
        <f>(L360/IF(SUM(L358:L360)=0,1,SUM(L358:L360))*(SUM(G97:G110)))</f>
        <v>94942.172889268841</v>
      </c>
      <c r="I661" s="19">
        <f>SUM(F661:H661)</f>
        <v>306142.63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427692.54</v>
      </c>
      <c r="G662" s="19">
        <f>(L226+L306)-(J226+J306)</f>
        <v>271463.90999999997</v>
      </c>
      <c r="H662" s="19">
        <f>(L244+L325)-(J244+J325)</f>
        <v>383860.58999999997</v>
      </c>
      <c r="I662" s="19">
        <f>SUM(F662:H662)</f>
        <v>1083017.04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320255</v>
      </c>
      <c r="G663" s="199">
        <f>SUM(G575:G587)+SUM(I602:I604)+L612</f>
        <v>188175.54000000004</v>
      </c>
      <c r="H663" s="199">
        <f>SUM(H575:H587)+SUM(J602:J604)+L613</f>
        <v>610588.94999999995</v>
      </c>
      <c r="I663" s="19">
        <f>SUM(F663:H663)</f>
        <v>1119019.49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9048946.6820315253</v>
      </c>
      <c r="G664" s="19">
        <f>G660-SUM(G661:G663)</f>
        <v>4937467.1108577438</v>
      </c>
      <c r="H664" s="19">
        <f>H660-SUM(H661:H663)</f>
        <v>6911395.7771107312</v>
      </c>
      <c r="I664" s="19">
        <f>I660-SUM(I661:I663)</f>
        <v>20897809.57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592.67999999999995</v>
      </c>
      <c r="G665" s="248">
        <v>354.52</v>
      </c>
      <c r="H665" s="248">
        <v>469.43</v>
      </c>
      <c r="I665" s="19">
        <f>SUM(F665:H665)</f>
        <v>1416.6299999999999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15267.85</v>
      </c>
      <c r="G667" s="19">
        <f>ROUND(G664/G665,2)</f>
        <v>13927.19</v>
      </c>
      <c r="H667" s="19">
        <f>ROUND(H664/H665,2)</f>
        <v>14722.95</v>
      </c>
      <c r="I667" s="19">
        <f>ROUND(I664/I665,2)</f>
        <v>14751.78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-14.6</v>
      </c>
      <c r="I670" s="19">
        <f>SUM(F670:H670)</f>
        <v>-14.6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15267.85</v>
      </c>
      <c r="G672" s="19">
        <f>ROUND((G664+G669)/(G665+G670),2)</f>
        <v>13927.19</v>
      </c>
      <c r="H672" s="19">
        <f>ROUND((H664+H669)/(H665+H670),2)</f>
        <v>15195.56</v>
      </c>
      <c r="I672" s="19">
        <f>ROUND((I664+I669)/(I665+I670),2)</f>
        <v>14905.39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I21" sqref="I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Winnsiquam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5378085.9800000004</v>
      </c>
      <c r="C9" s="229">
        <f>'DOE25'!G197+'DOE25'!G215+'DOE25'!G233+'DOE25'!G276+'DOE25'!G295+'DOE25'!G314</f>
        <v>2527756.3599999994</v>
      </c>
    </row>
    <row r="10" spans="1:3" x14ac:dyDescent="0.2">
      <c r="A10" t="s">
        <v>779</v>
      </c>
      <c r="B10" s="240">
        <v>5172112.62</v>
      </c>
      <c r="C10" s="240">
        <v>2510886.2200000002</v>
      </c>
    </row>
    <row r="11" spans="1:3" x14ac:dyDescent="0.2">
      <c r="A11" t="s">
        <v>780</v>
      </c>
      <c r="B11" s="240">
        <v>25337.45</v>
      </c>
      <c r="C11" s="240">
        <v>2226.77</v>
      </c>
    </row>
    <row r="12" spans="1:3" x14ac:dyDescent="0.2">
      <c r="A12" t="s">
        <v>781</v>
      </c>
      <c r="B12" s="240">
        <v>180635.91</v>
      </c>
      <c r="C12" s="240">
        <v>14643.37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5378085.9800000004</v>
      </c>
      <c r="C13" s="231">
        <f>SUM(C10:C12)</f>
        <v>2527756.3600000003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1638326.4899999998</v>
      </c>
      <c r="C18" s="229">
        <f>'DOE25'!G198+'DOE25'!G216+'DOE25'!G234+'DOE25'!G277+'DOE25'!G296+'DOE25'!G315</f>
        <v>567569.65000000014</v>
      </c>
    </row>
    <row r="19" spans="1:3" x14ac:dyDescent="0.2">
      <c r="A19" t="s">
        <v>779</v>
      </c>
      <c r="B19" s="240">
        <v>883717.47</v>
      </c>
      <c r="C19" s="240">
        <v>429085.05</v>
      </c>
    </row>
    <row r="20" spans="1:3" x14ac:dyDescent="0.2">
      <c r="A20" t="s">
        <v>780</v>
      </c>
      <c r="B20" s="240">
        <v>608291.76</v>
      </c>
      <c r="C20" s="240">
        <v>114825.52</v>
      </c>
    </row>
    <row r="21" spans="1:3" x14ac:dyDescent="0.2">
      <c r="A21" t="s">
        <v>781</v>
      </c>
      <c r="B21" s="240">
        <v>146317.26</v>
      </c>
      <c r="C21" s="240">
        <v>23659.08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1638326.49</v>
      </c>
      <c r="C22" s="231">
        <f>SUM(C19:C21)</f>
        <v>567569.64999999991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217328.97</v>
      </c>
      <c r="C27" s="234">
        <f>'DOE25'!G199+'DOE25'!G217+'DOE25'!G235+'DOE25'!G278+'DOE25'!G297+'DOE25'!G316</f>
        <v>88305.11</v>
      </c>
    </row>
    <row r="28" spans="1:3" x14ac:dyDescent="0.2">
      <c r="A28" t="s">
        <v>779</v>
      </c>
      <c r="B28" s="240">
        <v>199380.1</v>
      </c>
      <c r="C28" s="240">
        <v>72617.37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17948.87</v>
      </c>
      <c r="C30" s="240">
        <v>15687.74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217328.97</v>
      </c>
      <c r="C31" s="231">
        <f>SUM(C28:C30)</f>
        <v>88305.11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294643.05</v>
      </c>
      <c r="C36" s="235">
        <f>'DOE25'!G200+'DOE25'!G218+'DOE25'!G236+'DOE25'!G279+'DOE25'!G298+'DOE25'!G317</f>
        <v>77671.63</v>
      </c>
    </row>
    <row r="37" spans="1:3" x14ac:dyDescent="0.2">
      <c r="A37" t="s">
        <v>779</v>
      </c>
      <c r="B37" s="240">
        <v>197061.9</v>
      </c>
      <c r="C37" s="240">
        <v>39717.06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97581.15</v>
      </c>
      <c r="C39" s="240">
        <v>37954.57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294643.05</v>
      </c>
      <c r="C40" s="231">
        <f>SUM(C37:C39)</f>
        <v>77671.63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O46" sqref="O4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Winnsiquam Regional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12241272.32</v>
      </c>
      <c r="D5" s="20">
        <f>SUM('DOE25'!L197:L200)+SUM('DOE25'!L215:L218)+SUM('DOE25'!L233:L236)-F5-G5</f>
        <v>12068511.180000002</v>
      </c>
      <c r="E5" s="243"/>
      <c r="F5" s="255">
        <f>SUM('DOE25'!J197:J200)+SUM('DOE25'!J215:J218)+SUM('DOE25'!J233:J236)</f>
        <v>150370.10999999999</v>
      </c>
      <c r="G5" s="53">
        <f>SUM('DOE25'!K197:K200)+SUM('DOE25'!K215:K218)+SUM('DOE25'!K233:K236)</f>
        <v>22391.03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1567024.4700000002</v>
      </c>
      <c r="D6" s="20">
        <f>'DOE25'!L202+'DOE25'!L220+'DOE25'!L238-F6-G6</f>
        <v>1562168.2300000002</v>
      </c>
      <c r="E6" s="243"/>
      <c r="F6" s="255">
        <f>'DOE25'!J202+'DOE25'!J220+'DOE25'!J238</f>
        <v>3965.2400000000002</v>
      </c>
      <c r="G6" s="53">
        <f>'DOE25'!K202+'DOE25'!K220+'DOE25'!K238</f>
        <v>891</v>
      </c>
      <c r="H6" s="259"/>
    </row>
    <row r="7" spans="1:9" x14ac:dyDescent="0.2">
      <c r="A7" s="32">
        <v>2200</v>
      </c>
      <c r="B7" t="s">
        <v>834</v>
      </c>
      <c r="C7" s="245">
        <f t="shared" si="0"/>
        <v>827169.59000000008</v>
      </c>
      <c r="D7" s="20">
        <f>'DOE25'!L203+'DOE25'!L221+'DOE25'!L239-F7-G7</f>
        <v>817769.65000000014</v>
      </c>
      <c r="E7" s="243"/>
      <c r="F7" s="255">
        <f>'DOE25'!J203+'DOE25'!J221+'DOE25'!J239</f>
        <v>8810.84</v>
      </c>
      <c r="G7" s="53">
        <f>'DOE25'!K203+'DOE25'!K221+'DOE25'!K239</f>
        <v>589.1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1279358.81</v>
      </c>
      <c r="D8" s="243"/>
      <c r="E8" s="20">
        <f>'DOE25'!L204+'DOE25'!L222+'DOE25'!L240-F8-G8-D9-D11</f>
        <v>963201.12000000011</v>
      </c>
      <c r="F8" s="255">
        <f>'DOE25'!J204+'DOE25'!J222+'DOE25'!J240</f>
        <v>305310.19</v>
      </c>
      <c r="G8" s="53">
        <f>'DOE25'!K204+'DOE25'!K222+'DOE25'!K240</f>
        <v>10847.5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167480.34</v>
      </c>
      <c r="D9" s="244">
        <v>167480.34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18600</v>
      </c>
      <c r="D10" s="243"/>
      <c r="E10" s="244">
        <v>18600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439203.72</v>
      </c>
      <c r="D11" s="244">
        <v>439203.72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1497202.9500000002</v>
      </c>
      <c r="D12" s="20">
        <f>'DOE25'!L205+'DOE25'!L223+'DOE25'!L241-F12-G12</f>
        <v>1486085.4600000002</v>
      </c>
      <c r="E12" s="243"/>
      <c r="F12" s="255">
        <f>'DOE25'!J205+'DOE25'!J223+'DOE25'!J241</f>
        <v>1737.26</v>
      </c>
      <c r="G12" s="53">
        <f>'DOE25'!K205+'DOE25'!K223+'DOE25'!K241</f>
        <v>9380.23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351240.29000000004</v>
      </c>
      <c r="D13" s="243"/>
      <c r="E13" s="20">
        <f>'DOE25'!L206+'DOE25'!L224+'DOE25'!L242-F13-G13</f>
        <v>351240.29000000004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2260494.81</v>
      </c>
      <c r="D14" s="20">
        <f>'DOE25'!L207+'DOE25'!L225+'DOE25'!L243-F14-G14</f>
        <v>2210777.5500000003</v>
      </c>
      <c r="E14" s="243"/>
      <c r="F14" s="255">
        <f>'DOE25'!J207+'DOE25'!J225+'DOE25'!J243</f>
        <v>48480.76</v>
      </c>
      <c r="G14" s="53">
        <f>'DOE25'!K207+'DOE25'!K225+'DOE25'!K243</f>
        <v>1236.5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1063017.04</v>
      </c>
      <c r="D15" s="20">
        <f>'DOE25'!L208+'DOE25'!L226+'DOE25'!L244-F15-G15</f>
        <v>1063017.04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35999.99</v>
      </c>
      <c r="D16" s="243"/>
      <c r="E16" s="20">
        <f>'DOE25'!L209+'DOE25'!L227+'DOE25'!L245-F16-G16</f>
        <v>35999.99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1302345.99</v>
      </c>
      <c r="D25" s="243"/>
      <c r="E25" s="243"/>
      <c r="F25" s="258"/>
      <c r="G25" s="256"/>
      <c r="H25" s="257">
        <f>'DOE25'!L260+'DOE25'!L261+'DOE25'!L341+'DOE25'!L342</f>
        <v>1302345.99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340348.76000000007</v>
      </c>
      <c r="D29" s="20">
        <f>'DOE25'!L358+'DOE25'!L359+'DOE25'!L360-'DOE25'!I367-F29-G29</f>
        <v>316033.20000000007</v>
      </c>
      <c r="E29" s="243"/>
      <c r="F29" s="255">
        <f>'DOE25'!J358+'DOE25'!J359+'DOE25'!J360</f>
        <v>20229.11</v>
      </c>
      <c r="G29" s="53">
        <f>'DOE25'!K358+'DOE25'!K359+'DOE25'!K360</f>
        <v>4086.4500000000003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1038702.3399999999</v>
      </c>
      <c r="D31" s="20">
        <f>'DOE25'!L290+'DOE25'!L309+'DOE25'!L328+'DOE25'!L333+'DOE25'!L334+'DOE25'!L335-F31-G31</f>
        <v>998859.07999999984</v>
      </c>
      <c r="E31" s="243"/>
      <c r="F31" s="255">
        <f>'DOE25'!J290+'DOE25'!J309+'DOE25'!J328+'DOE25'!J333+'DOE25'!J334+'DOE25'!J335</f>
        <v>36479.049999999996</v>
      </c>
      <c r="G31" s="53">
        <f>'DOE25'!K290+'DOE25'!K309+'DOE25'!K328+'DOE25'!K333+'DOE25'!K334+'DOE25'!K335</f>
        <v>3364.21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21129905.449999999</v>
      </c>
      <c r="E33" s="246">
        <f>SUM(E5:E31)</f>
        <v>1369041.4000000001</v>
      </c>
      <c r="F33" s="246">
        <f>SUM(F5:F31)</f>
        <v>575382.56000000006</v>
      </c>
      <c r="G33" s="246">
        <f>SUM(G5:G31)</f>
        <v>52786.02</v>
      </c>
      <c r="H33" s="246">
        <f>SUM(H5:H31)</f>
        <v>1302345.99</v>
      </c>
    </row>
    <row r="35" spans="2:8" ht="12" thickBot="1" x14ac:dyDescent="0.25">
      <c r="B35" s="253" t="s">
        <v>847</v>
      </c>
      <c r="D35" s="254">
        <f>E33</f>
        <v>1369041.4000000001</v>
      </c>
      <c r="E35" s="249"/>
    </row>
    <row r="36" spans="2:8" ht="12" thickTop="1" x14ac:dyDescent="0.2">
      <c r="B36" t="s">
        <v>815</v>
      </c>
      <c r="D36" s="20">
        <f>D33</f>
        <v>21129905.449999999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1" activePane="bottomLeft" state="frozen"/>
      <selection activeCell="F46" sqref="F46"/>
      <selection pane="bottomLeft" activeCell="F136" sqref="F1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Winnsiquam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1962819.61</v>
      </c>
      <c r="D8" s="95">
        <f>'DOE25'!G9</f>
        <v>11098.43</v>
      </c>
      <c r="E8" s="95">
        <f>'DOE25'!H9</f>
        <v>20397.2</v>
      </c>
      <c r="F8" s="95">
        <f>'DOE25'!I9</f>
        <v>0</v>
      </c>
      <c r="G8" s="95">
        <f>'DOE25'!J9</f>
        <v>1150819.79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501195.26</v>
      </c>
      <c r="D11" s="95">
        <f>'DOE25'!G12</f>
        <v>181042.05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8239.18</v>
      </c>
      <c r="D12" s="95">
        <f>'DOE25'!G13</f>
        <v>21381.18</v>
      </c>
      <c r="E12" s="95">
        <f>'DOE25'!H13</f>
        <v>282535.81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188781.24</v>
      </c>
      <c r="D13" s="95">
        <f>'DOE25'!G14</f>
        <v>4458.3999999999996</v>
      </c>
      <c r="E13" s="95">
        <f>'DOE25'!H14</f>
        <v>2754.26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15813</v>
      </c>
      <c r="D16" s="95">
        <f>'DOE25'!G17</f>
        <v>865</v>
      </c>
      <c r="E16" s="95">
        <f>'DOE25'!H17</f>
        <v>0</v>
      </c>
      <c r="F16" s="95">
        <f>'DOE25'!I17</f>
        <v>0</v>
      </c>
      <c r="G16" s="95">
        <f>'DOE25'!J17</f>
        <v>60197.74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2676848.29</v>
      </c>
      <c r="D18" s="41">
        <f>SUM(D8:D17)</f>
        <v>218845.05999999997</v>
      </c>
      <c r="E18" s="41">
        <f>SUM(E8:E17)</f>
        <v>305687.27</v>
      </c>
      <c r="F18" s="41">
        <f>SUM(F8:F17)</f>
        <v>0</v>
      </c>
      <c r="G18" s="41">
        <f>SUM(G8:G17)</f>
        <v>1211017.53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192174.09</v>
      </c>
      <c r="D21" s="95">
        <f>'DOE25'!G22</f>
        <v>0</v>
      </c>
      <c r="E21" s="95">
        <f>'DOE25'!H22</f>
        <v>271403.77</v>
      </c>
      <c r="F21" s="95">
        <f>'DOE25'!I22</f>
        <v>0</v>
      </c>
      <c r="G21" s="95">
        <f>'DOE25'!J22</f>
        <v>218659.45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181176.74</v>
      </c>
      <c r="D23" s="95">
        <f>'DOE25'!G24</f>
        <v>645.91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59658.39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491839.78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10499.85</v>
      </c>
      <c r="E29" s="95">
        <f>'DOE25'!H30</f>
        <v>11132.04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2743.58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927592.58</v>
      </c>
      <c r="D31" s="41">
        <f>SUM(D21:D30)</f>
        <v>11145.76</v>
      </c>
      <c r="E31" s="41">
        <f>SUM(E21:E30)</f>
        <v>282535.81</v>
      </c>
      <c r="F31" s="41">
        <f>SUM(F21:F30)</f>
        <v>0</v>
      </c>
      <c r="G31" s="41">
        <f>SUM(G21:G30)</f>
        <v>218659.45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356374.16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207699.3</v>
      </c>
      <c r="E47" s="95">
        <f>'DOE25'!H48</f>
        <v>23151.46</v>
      </c>
      <c r="F47" s="95">
        <f>'DOE25'!I48</f>
        <v>0</v>
      </c>
      <c r="G47" s="95">
        <f>'DOE25'!J48</f>
        <v>992358.08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942881.55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1749255.71</v>
      </c>
      <c r="D50" s="41">
        <f>SUM(D34:D49)</f>
        <v>207699.3</v>
      </c>
      <c r="E50" s="41">
        <f>SUM(E34:E49)</f>
        <v>23151.46</v>
      </c>
      <c r="F50" s="41">
        <f>SUM(F34:F49)</f>
        <v>0</v>
      </c>
      <c r="G50" s="41">
        <f>SUM(G34:G49)</f>
        <v>992358.08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2676848.29</v>
      </c>
      <c r="D51" s="41">
        <f>D50+D31</f>
        <v>218845.06</v>
      </c>
      <c r="E51" s="41">
        <f>E50+E31</f>
        <v>305687.27</v>
      </c>
      <c r="F51" s="41">
        <f>F50+F31</f>
        <v>0</v>
      </c>
      <c r="G51" s="41">
        <f>G50+G31</f>
        <v>1211017.53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13117945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167682.63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6508.32</v>
      </c>
      <c r="D59" s="95">
        <f>'DOE25'!G96</f>
        <v>0</v>
      </c>
      <c r="E59" s="95">
        <f>'DOE25'!H96</f>
        <v>19.14</v>
      </c>
      <c r="F59" s="95">
        <f>'DOE25'!I96</f>
        <v>0</v>
      </c>
      <c r="G59" s="95">
        <f>'DOE25'!J96</f>
        <v>1888.29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306142.63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366277.55000000005</v>
      </c>
      <c r="D61" s="95">
        <f>SUM('DOE25'!G98:G110)</f>
        <v>0</v>
      </c>
      <c r="E61" s="95">
        <f>SUM('DOE25'!H98:H110)</f>
        <v>11272.4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540468.5</v>
      </c>
      <c r="D62" s="130">
        <f>SUM(D57:D61)</f>
        <v>306142.63</v>
      </c>
      <c r="E62" s="130">
        <f>SUM(E57:E61)</f>
        <v>11291.539999999999</v>
      </c>
      <c r="F62" s="130">
        <f>SUM(F57:F61)</f>
        <v>0</v>
      </c>
      <c r="G62" s="130">
        <f>SUM(G57:G61)</f>
        <v>1888.29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13658413.5</v>
      </c>
      <c r="D63" s="22">
        <f>D56+D62</f>
        <v>306142.63</v>
      </c>
      <c r="E63" s="22">
        <f>E56+E62</f>
        <v>11291.539999999999</v>
      </c>
      <c r="F63" s="22">
        <f>F56+F62</f>
        <v>0</v>
      </c>
      <c r="G63" s="22">
        <f>G56+G62</f>
        <v>1888.29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6388715.3099999996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2781330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9171927.2899999991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616416.76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58908.51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52165.84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9726.7800000000007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727491.11</v>
      </c>
      <c r="D78" s="130">
        <f>SUM(D72:D77)</f>
        <v>9726.7800000000007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9899418.3999999985</v>
      </c>
      <c r="D81" s="130">
        <f>SUM(D79:D80)+D78+D70</f>
        <v>9726.7800000000007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233140.5</v>
      </c>
      <c r="D88" s="95">
        <f>SUM('DOE25'!G153:G161)</f>
        <v>325946.11</v>
      </c>
      <c r="E88" s="95">
        <f>SUM('DOE25'!H153:H161)</f>
        <v>1034305.96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233140.5</v>
      </c>
      <c r="D91" s="131">
        <f>SUM(D85:D90)</f>
        <v>325946.11</v>
      </c>
      <c r="E91" s="131">
        <f>SUM(E85:E90)</f>
        <v>1034305.96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4485.92</v>
      </c>
      <c r="E96" s="95">
        <f>'DOE25'!H179</f>
        <v>0</v>
      </c>
      <c r="F96" s="95">
        <f>'DOE25'!I179</f>
        <v>0</v>
      </c>
      <c r="G96" s="95">
        <f>'DOE25'!J179</f>
        <v>490000</v>
      </c>
    </row>
    <row r="97" spans="1:7" x14ac:dyDescent="0.2">
      <c r="A97" t="s">
        <v>758</v>
      </c>
      <c r="B97" s="32" t="s">
        <v>188</v>
      </c>
      <c r="C97" s="95">
        <f>SUM('DOE25'!F180:F181)</f>
        <v>3440.35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3440.35</v>
      </c>
      <c r="D103" s="86">
        <f>SUM(D93:D102)</f>
        <v>4485.92</v>
      </c>
      <c r="E103" s="86">
        <f>SUM(E93:E102)</f>
        <v>0</v>
      </c>
      <c r="F103" s="86">
        <f>SUM(F93:F102)</f>
        <v>0</v>
      </c>
      <c r="G103" s="86">
        <f>SUM(G93:G102)</f>
        <v>490000</v>
      </c>
    </row>
    <row r="104" spans="1:7" ht="12.75" thickTop="1" thickBot="1" x14ac:dyDescent="0.25">
      <c r="A104" s="33" t="s">
        <v>765</v>
      </c>
      <c r="C104" s="86">
        <f>C63+C81+C91+C103</f>
        <v>23794412.75</v>
      </c>
      <c r="D104" s="86">
        <f>D63+D81+D91+D103</f>
        <v>646301.44000000006</v>
      </c>
      <c r="E104" s="86">
        <f>E63+E81+E91+E103</f>
        <v>1045597.5</v>
      </c>
      <c r="F104" s="86">
        <f>F63+F81+F91+F103</f>
        <v>0</v>
      </c>
      <c r="G104" s="86">
        <f>G63+G81+G103</f>
        <v>491888.29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7952651.2699999996</v>
      </c>
      <c r="D109" s="24" t="s">
        <v>289</v>
      </c>
      <c r="E109" s="95">
        <f>('DOE25'!L276)+('DOE25'!L295)+('DOE25'!L314)</f>
        <v>414987.61999999994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3318599.1400000006</v>
      </c>
      <c r="D110" s="24" t="s">
        <v>289</v>
      </c>
      <c r="E110" s="95">
        <f>('DOE25'!L277)+('DOE25'!L296)+('DOE25'!L315)</f>
        <v>266942.13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454458.06</v>
      </c>
      <c r="D111" s="24" t="s">
        <v>289</v>
      </c>
      <c r="E111" s="95">
        <f>('DOE25'!L278)+('DOE25'!L297)+('DOE25'!L316)</f>
        <v>59999.61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515563.85</v>
      </c>
      <c r="D112" s="24" t="s">
        <v>289</v>
      </c>
      <c r="E112" s="95">
        <f>+('DOE25'!L279)+('DOE25'!L298)+('DOE25'!L317)</f>
        <v>210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12241272.32</v>
      </c>
      <c r="D115" s="86">
        <f>SUM(D109:D114)</f>
        <v>0</v>
      </c>
      <c r="E115" s="86">
        <f>SUM(E109:E114)</f>
        <v>742139.36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1567024.4700000002</v>
      </c>
      <c r="D118" s="24" t="s">
        <v>289</v>
      </c>
      <c r="E118" s="95">
        <f>+('DOE25'!L281)+('DOE25'!L300)+('DOE25'!L319)</f>
        <v>130238.87999999999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827169.59000000008</v>
      </c>
      <c r="D119" s="24" t="s">
        <v>289</v>
      </c>
      <c r="E119" s="95">
        <f>+('DOE25'!L282)+('DOE25'!L301)+('DOE25'!L320)</f>
        <v>137969.91999999998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1886042.87</v>
      </c>
      <c r="D120" s="24" t="s">
        <v>289</v>
      </c>
      <c r="E120" s="95">
        <f>+('DOE25'!L283)+('DOE25'!L302)+('DOE25'!L321)</f>
        <v>2957.12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1497202.9500000002</v>
      </c>
      <c r="D121" s="24" t="s">
        <v>289</v>
      </c>
      <c r="E121" s="95">
        <f>+('DOE25'!L284)+('DOE25'!L303)+('DOE25'!L322)</f>
        <v>2007.96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351240.29000000004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2260494.81</v>
      </c>
      <c r="D123" s="24" t="s">
        <v>289</v>
      </c>
      <c r="E123" s="95">
        <f>+('DOE25'!L286)+('DOE25'!L305)+('DOE25'!L324)</f>
        <v>3389.1000000000004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1063017.04</v>
      </c>
      <c r="D124" s="24" t="s">
        <v>289</v>
      </c>
      <c r="E124" s="95">
        <f>+('DOE25'!L287)+('DOE25'!L306)+('DOE25'!L325)</f>
        <v>20000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35999.99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637822.06000000006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9488192.0099999998</v>
      </c>
      <c r="D128" s="86">
        <f>SUM(D118:D127)</f>
        <v>637822.06000000006</v>
      </c>
      <c r="E128" s="86">
        <f>SUM(E118:E127)</f>
        <v>296562.98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1093702.58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208643.41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3440.35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4485.92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451545.61000000004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40342.68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-1888.2900000000373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1796831.91</v>
      </c>
      <c r="D144" s="141">
        <f>SUM(D130:D143)</f>
        <v>0</v>
      </c>
      <c r="E144" s="141">
        <f>SUM(E130:E143)</f>
        <v>3440.35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23526296.239999998</v>
      </c>
      <c r="D145" s="86">
        <f>(D115+D128+D144)</f>
        <v>637822.06000000006</v>
      </c>
      <c r="E145" s="86">
        <f>(E115+E128+E144)</f>
        <v>1042142.69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3/11</v>
      </c>
      <c r="C152" s="152" t="str">
        <f>'DOE25'!G491</f>
        <v>11/09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8/21</v>
      </c>
      <c r="C153" s="152" t="str">
        <f>'DOE25'!G492</f>
        <v>12/25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8625000</v>
      </c>
      <c r="C154" s="137">
        <f>'DOE25'!G493</f>
        <v>3396240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3.19</v>
      </c>
      <c r="C155" s="137">
        <f>'DOE25'!G494</f>
        <v>1.4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5805000</v>
      </c>
      <c r="C156" s="137">
        <f>'DOE25'!G495</f>
        <v>2283458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8088458</v>
      </c>
    </row>
    <row r="157" spans="1:9" x14ac:dyDescent="0.2">
      <c r="A157" s="22" t="s">
        <v>33</v>
      </c>
      <c r="B157" s="137">
        <f>'DOE25'!F496</f>
        <v>715587.58</v>
      </c>
      <c r="C157" s="137">
        <f>'DOE25'!G496</f>
        <v>177042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892629.58</v>
      </c>
    </row>
    <row r="158" spans="1:9" x14ac:dyDescent="0.2">
      <c r="A158" s="22" t="s">
        <v>34</v>
      </c>
      <c r="B158" s="137">
        <f>'DOE25'!F497</f>
        <v>870000</v>
      </c>
      <c r="C158" s="137">
        <f>'DOE25'!G497</f>
        <v>223703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1093703</v>
      </c>
    </row>
    <row r="159" spans="1:9" x14ac:dyDescent="0.2">
      <c r="A159" s="22" t="s">
        <v>35</v>
      </c>
      <c r="B159" s="137">
        <f>'DOE25'!F498</f>
        <v>4935000</v>
      </c>
      <c r="C159" s="137">
        <f>'DOE25'!G498</f>
        <v>2059755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6994755</v>
      </c>
    </row>
    <row r="160" spans="1:9" x14ac:dyDescent="0.2">
      <c r="A160" s="22" t="s">
        <v>36</v>
      </c>
      <c r="B160" s="137">
        <f>'DOE25'!F499</f>
        <v>538912.57999999996</v>
      </c>
      <c r="C160" s="137">
        <f>'DOE25'!G499</f>
        <v>145074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683986.58</v>
      </c>
    </row>
    <row r="161" spans="1:7" x14ac:dyDescent="0.2">
      <c r="A161" s="22" t="s">
        <v>37</v>
      </c>
      <c r="B161" s="137">
        <f>'DOE25'!F500</f>
        <v>5473912.5800000001</v>
      </c>
      <c r="C161" s="137">
        <f>'DOE25'!G500</f>
        <v>2204829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7678741.5800000001</v>
      </c>
    </row>
    <row r="162" spans="1:7" x14ac:dyDescent="0.2">
      <c r="A162" s="22" t="s">
        <v>38</v>
      </c>
      <c r="B162" s="137">
        <f>'DOE25'!F501</f>
        <v>855000</v>
      </c>
      <c r="C162" s="137">
        <f>'DOE25'!G501</f>
        <v>224674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1079674</v>
      </c>
    </row>
    <row r="163" spans="1:7" x14ac:dyDescent="0.2">
      <c r="A163" s="22" t="s">
        <v>39</v>
      </c>
      <c r="B163" s="137">
        <f>'DOE25'!F502</f>
        <v>155150.07999999999</v>
      </c>
      <c r="C163" s="137">
        <f>'DOE25'!G502</f>
        <v>28837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183987.08</v>
      </c>
    </row>
    <row r="164" spans="1:7" x14ac:dyDescent="0.2">
      <c r="A164" s="22" t="s">
        <v>246</v>
      </c>
      <c r="B164" s="137">
        <f>'DOE25'!F503</f>
        <v>1010150.08</v>
      </c>
      <c r="C164" s="137">
        <f>'DOE25'!G503</f>
        <v>253511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1263661.08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Winnsiquam Regional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15268</v>
      </c>
    </row>
    <row r="5" spans="1:4" x14ac:dyDescent="0.2">
      <c r="B5" t="s">
        <v>704</v>
      </c>
      <c r="C5" s="179">
        <f>IF('DOE25'!G665+'DOE25'!G670=0,0,ROUND('DOE25'!G672,0))</f>
        <v>13927</v>
      </c>
    </row>
    <row r="6" spans="1:4" x14ac:dyDescent="0.2">
      <c r="B6" t="s">
        <v>62</v>
      </c>
      <c r="C6" s="179">
        <f>IF('DOE25'!H665+'DOE25'!H670=0,0,ROUND('DOE25'!H672,0))</f>
        <v>15196</v>
      </c>
    </row>
    <row r="7" spans="1:4" x14ac:dyDescent="0.2">
      <c r="B7" t="s">
        <v>705</v>
      </c>
      <c r="C7" s="179">
        <f>IF('DOE25'!I665+'DOE25'!I670=0,0,ROUND('DOE25'!I672,0))</f>
        <v>14905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8367639</v>
      </c>
      <c r="D10" s="182">
        <f>ROUND((C10/$C$28)*100,1)</f>
        <v>35.9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3585541</v>
      </c>
      <c r="D11" s="182">
        <f>ROUND((C11/$C$28)*100,1)</f>
        <v>15.4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514458</v>
      </c>
      <c r="D12" s="182">
        <f>ROUND((C12/$C$28)*100,1)</f>
        <v>2.2000000000000002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515774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1697263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965140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1925000</v>
      </c>
      <c r="D17" s="182">
        <f t="shared" si="0"/>
        <v>8.3000000000000007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1499211</v>
      </c>
      <c r="D18" s="182">
        <f t="shared" si="0"/>
        <v>6.4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351240</v>
      </c>
      <c r="D19" s="182">
        <f t="shared" si="0"/>
        <v>1.5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2263884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1083017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208643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331679.37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23308489.370000001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23308489.370000001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1093703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13117945</v>
      </c>
      <c r="D35" s="182">
        <f t="shared" ref="D35:D40" si="1">ROUND((C35/$C$41)*100,1)</f>
        <v>52.1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553648.32999999821</v>
      </c>
      <c r="D36" s="182">
        <f t="shared" si="1"/>
        <v>2.2000000000000002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9170045</v>
      </c>
      <c r="D37" s="182">
        <f t="shared" si="1"/>
        <v>36.4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739100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1593393</v>
      </c>
      <c r="D39" s="182">
        <f t="shared" si="1"/>
        <v>6.3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25174131.329999998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Winnsiquam Regional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2016-10-17T13:36:54Z</cp:lastPrinted>
  <dcterms:created xsi:type="dcterms:W3CDTF">1997-12-04T19:04:30Z</dcterms:created>
  <dcterms:modified xsi:type="dcterms:W3CDTF">2016-12-01T18:51:54Z</dcterms:modified>
</cp:coreProperties>
</file>