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3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E13" i="13" s="1"/>
  <c r="C13" i="13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C21" i="10" s="1"/>
  <c r="L226" i="1"/>
  <c r="G650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E114" i="2" s="1"/>
  <c r="L334" i="1"/>
  <c r="L335" i="1"/>
  <c r="L260" i="1"/>
  <c r="C131" i="2" s="1"/>
  <c r="L261" i="1"/>
  <c r="C25" i="10" s="1"/>
  <c r="L341" i="1"/>
  <c r="C32" i="10" s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H169" i="1" s="1"/>
  <c r="I147" i="1"/>
  <c r="F85" i="2" s="1"/>
  <c r="I162" i="1"/>
  <c r="I169" i="1" s="1"/>
  <c r="L250" i="1"/>
  <c r="C113" i="2" s="1"/>
  <c r="L332" i="1"/>
  <c r="L254" i="1"/>
  <c r="L268" i="1"/>
  <c r="L269" i="1"/>
  <c r="C143" i="2" s="1"/>
  <c r="L349" i="1"/>
  <c r="C26" i="10" s="1"/>
  <c r="L350" i="1"/>
  <c r="I665" i="1"/>
  <c r="I670" i="1"/>
  <c r="G661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D115" i="2"/>
  <c r="F115" i="2"/>
  <c r="G115" i="2"/>
  <c r="C119" i="2"/>
  <c r="E121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G624" i="1" s="1"/>
  <c r="I51" i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G461" i="1" s="1"/>
  <c r="H640" i="1" s="1"/>
  <c r="H452" i="1"/>
  <c r="F460" i="1"/>
  <c r="G460" i="1"/>
  <c r="H460" i="1"/>
  <c r="F470" i="1"/>
  <c r="G470" i="1"/>
  <c r="H470" i="1"/>
  <c r="I470" i="1"/>
  <c r="I476" i="1" s="1"/>
  <c r="H625" i="1" s="1"/>
  <c r="J470" i="1"/>
  <c r="F474" i="1"/>
  <c r="F476" i="1" s="1"/>
  <c r="H622" i="1" s="1"/>
  <c r="J622" i="1" s="1"/>
  <c r="G474" i="1"/>
  <c r="G476" i="1" s="1"/>
  <c r="H623" i="1" s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3" i="1"/>
  <c r="G644" i="1"/>
  <c r="G651" i="1"/>
  <c r="G652" i="1"/>
  <c r="H652" i="1"/>
  <c r="G653" i="1"/>
  <c r="H653" i="1"/>
  <c r="G654" i="1"/>
  <c r="H654" i="1"/>
  <c r="H655" i="1"/>
  <c r="J655" i="1" s="1"/>
  <c r="D62" i="2"/>
  <c r="D50" i="2"/>
  <c r="G62" i="2"/>
  <c r="D19" i="13"/>
  <c r="C19" i="13" s="1"/>
  <c r="H476" i="1"/>
  <c r="H624" i="1" s="1"/>
  <c r="J140" i="1"/>
  <c r="G22" i="2"/>
  <c r="H140" i="1"/>
  <c r="H192" i="1"/>
  <c r="A31" i="12" l="1"/>
  <c r="K598" i="1"/>
  <c r="G647" i="1" s="1"/>
  <c r="J651" i="1"/>
  <c r="L570" i="1"/>
  <c r="L565" i="1"/>
  <c r="K571" i="1"/>
  <c r="H571" i="1"/>
  <c r="J571" i="1"/>
  <c r="L560" i="1"/>
  <c r="I571" i="1"/>
  <c r="F571" i="1"/>
  <c r="J552" i="1"/>
  <c r="L544" i="1"/>
  <c r="L534" i="1"/>
  <c r="J545" i="1"/>
  <c r="H545" i="1"/>
  <c r="H552" i="1"/>
  <c r="K550" i="1"/>
  <c r="I545" i="1"/>
  <c r="F552" i="1"/>
  <c r="K551" i="1"/>
  <c r="K545" i="1"/>
  <c r="G545" i="1"/>
  <c r="K549" i="1"/>
  <c r="L524" i="1"/>
  <c r="G161" i="2"/>
  <c r="G164" i="2"/>
  <c r="K500" i="1"/>
  <c r="G157" i="2"/>
  <c r="G156" i="2"/>
  <c r="L433" i="1"/>
  <c r="L419" i="1"/>
  <c r="L401" i="1"/>
  <c r="C139" i="2" s="1"/>
  <c r="H408" i="1"/>
  <c r="H644" i="1" s="1"/>
  <c r="J644" i="1" s="1"/>
  <c r="G408" i="1"/>
  <c r="H645" i="1" s="1"/>
  <c r="L393" i="1"/>
  <c r="C138" i="2" s="1"/>
  <c r="J643" i="1"/>
  <c r="F130" i="2"/>
  <c r="F144" i="2" s="1"/>
  <c r="F145" i="2" s="1"/>
  <c r="J634" i="1"/>
  <c r="D29" i="13"/>
  <c r="C29" i="13" s="1"/>
  <c r="L362" i="1"/>
  <c r="G635" i="1" s="1"/>
  <c r="J635" i="1" s="1"/>
  <c r="H661" i="1"/>
  <c r="F22" i="13"/>
  <c r="C22" i="13" s="1"/>
  <c r="E123" i="2"/>
  <c r="E120" i="2"/>
  <c r="E119" i="2"/>
  <c r="L328" i="1"/>
  <c r="E112" i="2"/>
  <c r="E110" i="2"/>
  <c r="E125" i="2"/>
  <c r="E124" i="2"/>
  <c r="E122" i="2"/>
  <c r="K338" i="1"/>
  <c r="K352" i="1" s="1"/>
  <c r="E111" i="2"/>
  <c r="L309" i="1"/>
  <c r="H338" i="1"/>
  <c r="H352" i="1" s="1"/>
  <c r="G338" i="1"/>
  <c r="G352" i="1" s="1"/>
  <c r="F338" i="1"/>
  <c r="F352" i="1" s="1"/>
  <c r="L290" i="1"/>
  <c r="C132" i="2"/>
  <c r="L270" i="1"/>
  <c r="C114" i="2"/>
  <c r="L256" i="1"/>
  <c r="C121" i="2"/>
  <c r="C16" i="10"/>
  <c r="C110" i="2"/>
  <c r="L247" i="1"/>
  <c r="C109" i="2"/>
  <c r="C125" i="2"/>
  <c r="D14" i="13"/>
  <c r="C14" i="13" s="1"/>
  <c r="C20" i="10"/>
  <c r="C123" i="2"/>
  <c r="C112" i="2"/>
  <c r="C12" i="10"/>
  <c r="F257" i="1"/>
  <c r="F271" i="1" s="1"/>
  <c r="C11" i="10"/>
  <c r="J257" i="1"/>
  <c r="J271" i="1" s="1"/>
  <c r="I257" i="1"/>
  <c r="I271" i="1" s="1"/>
  <c r="H257" i="1"/>
  <c r="H271" i="1" s="1"/>
  <c r="G257" i="1"/>
  <c r="G271" i="1" s="1"/>
  <c r="L229" i="1"/>
  <c r="K257" i="1"/>
  <c r="K271" i="1" s="1"/>
  <c r="D5" i="13"/>
  <c r="C5" i="13" s="1"/>
  <c r="C13" i="10"/>
  <c r="C18" i="10"/>
  <c r="C17" i="10"/>
  <c r="L211" i="1"/>
  <c r="H461" i="1"/>
  <c r="H641" i="1" s="1"/>
  <c r="J641" i="1" s="1"/>
  <c r="J640" i="1"/>
  <c r="I452" i="1"/>
  <c r="F461" i="1"/>
  <c r="H639" i="1" s="1"/>
  <c r="J639" i="1" s="1"/>
  <c r="I446" i="1"/>
  <c r="G642" i="1" s="1"/>
  <c r="I460" i="1"/>
  <c r="G645" i="1"/>
  <c r="G81" i="2"/>
  <c r="J112" i="1"/>
  <c r="F78" i="2"/>
  <c r="F81" i="2" s="1"/>
  <c r="I52" i="1"/>
  <c r="H620" i="1" s="1"/>
  <c r="J620" i="1" s="1"/>
  <c r="F18" i="2"/>
  <c r="E103" i="2"/>
  <c r="E78" i="2"/>
  <c r="E81" i="2" s="1"/>
  <c r="E62" i="2"/>
  <c r="E63" i="2" s="1"/>
  <c r="H112" i="1"/>
  <c r="H193" i="1" s="1"/>
  <c r="G629" i="1" s="1"/>
  <c r="J629" i="1" s="1"/>
  <c r="J624" i="1"/>
  <c r="H52" i="1"/>
  <c r="H619" i="1" s="1"/>
  <c r="J619" i="1" s="1"/>
  <c r="E31" i="2"/>
  <c r="G192" i="1"/>
  <c r="D91" i="2"/>
  <c r="D63" i="2"/>
  <c r="G112" i="1"/>
  <c r="J623" i="1"/>
  <c r="D31" i="2"/>
  <c r="D51" i="2" s="1"/>
  <c r="D18" i="2"/>
  <c r="C91" i="2"/>
  <c r="C78" i="2"/>
  <c r="C81" i="2" s="1"/>
  <c r="C70" i="2"/>
  <c r="F112" i="1"/>
  <c r="J617" i="1"/>
  <c r="C18" i="2"/>
  <c r="C16" i="13"/>
  <c r="E109" i="2"/>
  <c r="C62" i="2"/>
  <c r="F661" i="1"/>
  <c r="C19" i="10"/>
  <c r="C15" i="10"/>
  <c r="C10" i="10"/>
  <c r="E8" i="13"/>
  <c r="C8" i="13" s="1"/>
  <c r="L539" i="1"/>
  <c r="K503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2" i="2"/>
  <c r="C111" i="2"/>
  <c r="C56" i="2"/>
  <c r="F662" i="1"/>
  <c r="I662" i="1" s="1"/>
  <c r="L382" i="1"/>
  <c r="G636" i="1" s="1"/>
  <c r="J636" i="1" s="1"/>
  <c r="H25" i="13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C27" i="10"/>
  <c r="J647" i="1" l="1"/>
  <c r="L571" i="1"/>
  <c r="L545" i="1"/>
  <c r="K552" i="1"/>
  <c r="L434" i="1"/>
  <c r="G638" i="1" s="1"/>
  <c r="J638" i="1" s="1"/>
  <c r="J645" i="1"/>
  <c r="L408" i="1"/>
  <c r="G637" i="1" s="1"/>
  <c r="J637" i="1" s="1"/>
  <c r="C141" i="2"/>
  <c r="C144" i="2" s="1"/>
  <c r="I661" i="1"/>
  <c r="F33" i="13"/>
  <c r="H660" i="1"/>
  <c r="H664" i="1" s="1"/>
  <c r="H667" i="1" s="1"/>
  <c r="E128" i="2"/>
  <c r="E115" i="2"/>
  <c r="L338" i="1"/>
  <c r="L352" i="1" s="1"/>
  <c r="G633" i="1" s="1"/>
  <c r="J633" i="1" s="1"/>
  <c r="G660" i="1"/>
  <c r="G664" i="1" s="1"/>
  <c r="G667" i="1" s="1"/>
  <c r="C115" i="2"/>
  <c r="H648" i="1"/>
  <c r="J648" i="1" s="1"/>
  <c r="L257" i="1"/>
  <c r="L271" i="1" s="1"/>
  <c r="G632" i="1" s="1"/>
  <c r="J632" i="1" s="1"/>
  <c r="C128" i="2"/>
  <c r="F660" i="1"/>
  <c r="G51" i="2"/>
  <c r="I461" i="1"/>
  <c r="H642" i="1" s="1"/>
  <c r="J642" i="1" s="1"/>
  <c r="G104" i="2"/>
  <c r="I193" i="1"/>
  <c r="G630" i="1" s="1"/>
  <c r="J630" i="1" s="1"/>
  <c r="F104" i="2"/>
  <c r="E104" i="2"/>
  <c r="E51" i="2"/>
  <c r="D104" i="2"/>
  <c r="F193" i="1"/>
  <c r="G627" i="1" s="1"/>
  <c r="J627" i="1" s="1"/>
  <c r="C36" i="10"/>
  <c r="C63" i="2"/>
  <c r="C104" i="2" s="1"/>
  <c r="C28" i="10"/>
  <c r="D23" i="10" s="1"/>
  <c r="D31" i="13"/>
  <c r="C31" i="13" s="1"/>
  <c r="C25" i="13"/>
  <c r="H33" i="13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72" i="1"/>
  <c r="C6" i="10" s="1"/>
  <c r="E145" i="2"/>
  <c r="G672" i="1"/>
  <c r="C5" i="10" s="1"/>
  <c r="I660" i="1"/>
  <c r="I664" i="1" s="1"/>
  <c r="I672" i="1" s="1"/>
  <c r="C7" i="10" s="1"/>
  <c r="D33" i="13"/>
  <c r="D36" i="13" s="1"/>
  <c r="C145" i="2"/>
  <c r="F664" i="1"/>
  <c r="F672" i="1" s="1"/>
  <c r="C4" i="10" s="1"/>
  <c r="D20" i="10"/>
  <c r="D15" i="10"/>
  <c r="D25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C41" i="10"/>
  <c r="D38" i="10" s="1"/>
  <c r="H656" i="1" l="1"/>
  <c r="I667" i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<sst xmlns="http://schemas.openxmlformats.org/spreadsheetml/2006/main" count="3958" uniqueCount="915">
  <si>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</si>
  <si>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</si>
  <si>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</si>
  <si>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</si>
  <si>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</si>
  <si>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</si>
  <si>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</si>
  <si>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</si>
  <si>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</si>
  <si>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</si>
  <si>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</si>
  <si>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</si>
  <si>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</si>
  <si>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</si>
  <si>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</si>
  <si>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</si>
  <si>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</si>
  <si>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</si>
  <si>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</si>
  <si>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</si>
  <si>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</si>
  <si>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</si>
  <si>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</si>
  <si>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</si>
  <si>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</si>
  <si>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</si>
  <si>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</si>
  <si>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</si>
  <si>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</si>
  <si>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</si>
  <si>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</si>
  <si>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</si>
  <si>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</si>
  <si>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</si>
  <si>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</si>
  <si>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</si>
  <si>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</si>
  <si>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</si>
  <si>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</si>
  <si>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</si>
  <si>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</si>
  <si>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</si>
  <si>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</si>
  <si>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</si>
  <si>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</si>
  <si>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</si>
  <si>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</si>
  <si>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</si>
  <si>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</si>
  <si>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</si>
  <si>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</si>
  <si>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</si>
  <si>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</si>
  <si>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</si>
  <si>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</si>
  <si>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</si>
  <si>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</si>
  <si>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</si>
  <si>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</si>
  <si>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</si>
  <si>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</si>
  <si>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</si>
  <si>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</si>
  <si>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</si>
  <si>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</si>
  <si>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</si>
  <si>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</si>
  <si>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</si>
  <si>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</si>
  <si>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</si>
  <si>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</si>
  <si>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</si>
  <si>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</si>
  <si>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</si>
  <si>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</si>
  <si>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</si>
  <si>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</si>
  <si>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</si>
  <si>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</si>
  <si>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</si>
  <si>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</si>
  <si>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</si>
  <si>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</si>
  <si>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</si>
  <si>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</si>
  <si>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</si>
  <si>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</si>
  <si>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</si>
  <si>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</si>
  <si>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</si>
  <si>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</si>
  <si>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</si>
  <si>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</si>
  <si>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</si>
  <si>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</si>
  <si>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</si>
  <si>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</si>
  <si>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</si>
  <si>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</si>
  <si>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</si>
  <si>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</si>
  <si>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</si>
  <si>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</si>
  <si>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</si>
  <si>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</si>
  <si>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</si>
  <si>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</si>
  <si>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</si>
  <si>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</si>
  <si>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</si>
  <si>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</si>
  <si>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</si>
  <si>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</si>
  <si>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</si>
  <si>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</si>
  <si>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</si>
  <si>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</si>
  <si>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</si>
  <si>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</si>
  <si>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</si>
  <si>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</si>
  <si>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</si>
  <si>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</si>
  <si>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</si>
  <si>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</si>
  <si>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</si>
  <si>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</si>
  <si>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</si>
  <si>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</si>
  <si>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</si>
  <si>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</si>
  <si>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</si>
  <si>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</si>
  <si>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</si>
  <si>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</si>
  <si>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</si>
  <si>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</si>
  <si>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</si>
  <si>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</si>
  <si>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</si>
  <si>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</si>
  <si>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</si>
  <si>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</si>
  <si>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</si>
  <si>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</si>
  <si>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</si>
  <si>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</si>
  <si>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</si>
  <si>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</si>
  <si>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</si>
  <si>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</si>
  <si>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</si>
  <si>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</si>
  <si>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</si>
  <si>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</si>
  <si>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</si>
  <si>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</si>
  <si>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</si>
  <si>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</si>
  <si>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</si>
  <si>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</si>
  <si>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</si>
  <si>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</si>
  <si>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</si>
  <si>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</si>
  <si>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</si>
  <si>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</si>
  <si>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</si>
  <si>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</si>
  <si>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</si>
  <si>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</si>
  <si>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</si>
  <si>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</si>
  <si>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</si>
  <si>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</si>
  <si>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</si>
  <si>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</si>
  <si>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</si>
  <si>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</si>
  <si>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</si>
  <si>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</si>
  <si>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</si>
  <si>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</si>
  <si>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</si>
  <si>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</si>
  <si>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</si>
  <si>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</si>
  <si>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</si>
  <si>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</si>
  <si>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</si>
  <si>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</si>
  <si>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</si>
  <si>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</si>
  <si>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</si>
  <si>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</si>
  <si>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</si>
  <si>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</si>
  <si>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</si>
  <si>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</si>
  <si>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</si>
  <si>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</si>
  <si>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</si>
  <si>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</si>
  <si>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</si>
  <si>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</si>
  <si>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</si>
  <si>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</si>
  <si>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</si>
  <si>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</si>
  <si>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</si>
  <si>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</si>
  <si>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</si>
  <si>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</si>
  <si>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</si>
  <si>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</si>
  <si>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</si>
  <si>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</si>
  <si>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</si>
  <si>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</si>
  <si>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</si>
  <si>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</si>
  <si>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</si>
  <si>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</si>
  <si>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</si>
  <si>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</si>
  <si>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</si>
  <si>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</si>
  <si>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</si>
  <si>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</si>
  <si>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</si>
  <si>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</si>
  <si>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</si>
  <si>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</si>
  <si>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</si>
  <si>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</si>
  <si>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</si>
  <si>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</si>
  <si>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</si>
  <si>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</si>
  <si>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</si>
  <si>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</si>
  <si>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</si>
  <si>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</si>
  <si>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</si>
  <si>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</si>
  <si>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</si>
  <si>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</si>
  <si>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</si>
  <si>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</si>
  <si>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</si>
  <si>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</si>
  <si>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</si>
  <si>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</si>
  <si>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</si>
  <si>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</si>
  <si>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</si>
  <si>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</si>
  <si>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</si>
  <si>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</si>
  <si>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</si>
  <si>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</si>
  <si>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</si>
  <si>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</si>
  <si>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</si>
  <si>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</si>
  <si>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</si>
  <si>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</si>
  <si>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</si>
  <si>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</si>
  <si>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</si>
  <si>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</si>
  <si>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</si>
  <si>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</si>
  <si>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</si>
  <si>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</si>
  <si>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</si>
  <si>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</si>
  <si>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</si>
  <si>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</si>
  <si>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</si>
  <si>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</si>
  <si>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</si>
  <si>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</si>
  <si>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</si>
  <si>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</si>
  <si>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</si>
  <si>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</si>
  <si>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</si>
  <si>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</si>
  <si>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</si>
  <si>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</si>
  <si>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</si>
  <si>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</si>
  <si>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</si>
  <si>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</si>
  <si>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</si>
  <si>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</si>
  <si>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</si>
  <si>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</si>
  <si>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</si>
  <si>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</si>
  <si>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</si>
  <si>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</si>
  <si>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</si>
  <si>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</si>
  <si>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</si>
  <si>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</si>
  <si>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</si>
  <si>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</si>
  <si>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</si>
  <si>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</si>
  <si>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</si>
  <si>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</si>
  <si>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</si>
  <si>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</si>
  <si>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</si>
  <si>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</si>
  <si>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</si>
  <si>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</si>
  <si>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</si>
  <si>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</si>
  <si>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</si>
  <si>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</si>
  <si>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</si>
  <si>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</si>
  <si>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</si>
  <si>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</si>
  <si>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</si>
  <si>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</si>
  <si>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</si>
  <si>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</si>
  <si>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</si>
  <si>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</si>
  <si>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</si>
  <si>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</si>
  <si>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</si>
  <si>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</si>
  <si>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</si>
  <si>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</si>
  <si>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</si>
  <si>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</si>
  <si>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</si>
  <si>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</si>
  <si>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</si>
  <si>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</si>
  <si>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</si>
  <si>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</si>
  <si>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</si>
  <si>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</si>
  <si>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</si>
  <si>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</si>
  <si>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</si>
  <si>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</si>
  <si>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</si>
  <si>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</si>
  <si>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</si>
  <si>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</si>
  <si>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</si>
  <si>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</si>
  <si>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</si>
  <si>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</si>
  <si>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</si>
  <si>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</si>
  <si>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</si>
  <si>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</si>
  <si>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</si>
  <si>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</si>
  <si>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</si>
  <si>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</si>
  <si>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</si>
  <si>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</si>
  <si>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</si>
  <si>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</si>
  <si>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</si>
  <si>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</si>
  <si>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</si>
  <si>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</si>
  <si>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</si>
  <si>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</si>
  <si>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</si>
  <si>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</si>
  <si>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</si>
  <si>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</si>
  <si>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</si>
  <si>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</si>
  <si>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</si>
  <si>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</si>
  <si>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</si>
  <si>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</si>
  <si>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</si>
  <si>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</si>
  <si>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</si>
  <si>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</si>
  <si>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</si>
  <si>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</si>
  <si>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</si>
  <si>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</si>
  <si>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</si>
  <si>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</si>
  <si>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</si>
  <si>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</si>
  <si>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</si>
  <si>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</si>
  <si>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</si>
  <si>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</si>
  <si>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</si>
  <si>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</si>
  <si>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</si>
  <si>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</si>
  <si>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</si>
  <si>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</si>
  <si>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</si>
  <si>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</si>
  <si>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</si>
  <si>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</si>
  <si>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</si>
  <si>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</si>
  <si>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</si>
  <si>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</si>
  <si>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</si>
  <si>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</si>
  <si>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</si>
  <si>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</si>
  <si>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</si>
  <si>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</si>
  <si>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</si>
  <si>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</si>
  <si>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</si>
  <si>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</si>
  <si>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</si>
  <si>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</si>
  <si>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</si>
  <si>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</si>
  <si>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</si>
  <si>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</si>
  <si>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</si>
  <si>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</si>
  <si>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</si>
  <si>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</si>
  <si>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</si>
  <si>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</si>
  <si>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</si>
  <si>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</si>
  <si>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</si>
  <si>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</si>
  <si>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</si>
  <si>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</si>
  <si>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</si>
  <si>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</si>
  <si>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</si>
  <si>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</si>
  <si>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</si>
  <si>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</si>
  <si>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</si>
  <si>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</si>
  <si>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</si>
  <si>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</si>
  <si>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</si>
  <si>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</si>
  <si>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</si>
  <si>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</si>
  <si>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</si>
  <si>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</si>
  <si>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</si>
  <si>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</si>
  <si>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</si>
  <si>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</si>
  <si>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</si>
  <si>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</si>
  <si>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</si>
  <si>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</si>
  <si>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</si>
  <si>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</si>
  <si>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</si>
  <si>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</si>
  <si>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</si>
  <si>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</si>
  <si>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</si>
  <si>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</si>
  <si>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</si>
  <si>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</si>
  <si>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</si>
  <si>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</si>
  <si>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</si>
  <si>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</si>
  <si>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</si>
  <si>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</si>
  <si>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</si>
  <si>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</si>
  <si>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</si>
  <si>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</si>
  <si>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</si>
  <si>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</si>
  <si>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</si>
  <si>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</si>
  <si>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</si>
  <si>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</si>
  <si>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</si>
  <si>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</si>
  <si>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</si>
  <si>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</si>
  <si>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</si>
  <si>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</si>
  <si>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</si>
  <si>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</si>
  <si>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</si>
  <si>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</si>
  <si>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</si>
  <si>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</si>
  <si>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</si>
  <si>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</si>
  <si>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</si>
  <si>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</si>
  <si>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</si>
  <si>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</si>
  <si>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</si>
  <si>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</si>
  <si>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</si>
  <si>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</si>
  <si>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</si>
  <si>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</si>
  <si>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</si>
  <si>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</si>
  <si>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</si>
  <si>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</si>
  <si>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</si>
  <si>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</si>
  <si>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</si>
  <si>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</si>
  <si>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</si>
  <si>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</si>
  <si>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</si>
  <si>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</si>
  <si>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</si>
  <si>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</si>
  <si>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</si>
  <si>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</si>
  <si>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</si>
  <si>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</si>
  <si>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</si>
  <si>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</si>
  <si>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</si>
  <si>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</si>
  <si>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</si>
  <si>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</si>
  <si>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</si>
  <si>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</si>
  <si>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</si>
  <si>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</si>
  <si>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</si>
  <si>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</si>
  <si>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</si>
  <si>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</si>
  <si>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</si>
  <si>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</si>
  <si>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</si>
  <si>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</si>
  <si>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</si>
  <si>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</si>
  <si>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</si>
  <si>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</si>
  <si>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</si>
  <si>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</si>
  <si>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</si>
  <si>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</si>
  <si>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</si>
  <si>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</si>
  <si>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</si>
  <si>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</si>
  <si>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</si>
  <si>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</si>
  <si>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</si>
  <si>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</si>
  <si>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</si>
  <si>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</si>
  <si>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</si>
  <si>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</si>
  <si>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</si>
  <si>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</si>
  <si>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</si>
  <si>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</si>
  <si>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</si>
  <si>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</si>
  <si>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</si>
  <si>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</si>
  <si>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</si>
  <si>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</si>
  <si>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</si>
  <si>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</si>
  <si>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</si>
  <si>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</si>
  <si>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</si>
  <si>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</si>
  <si>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</si>
  <si>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</si>
  <si>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</si>
  <si>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</si>
  <si>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</si>
  <si>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</si>
  <si>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</si>
  <si>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</si>
  <si>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</si>
  <si>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</si>
  <si>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</si>
  <si>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</si>
  <si>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</si>
  <si>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</si>
  <si>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</si>
  <si>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</si>
  <si>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</si>
  <si>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</si>
  <si>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</si>
  <si>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</si>
  <si>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</si>
  <si>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</si>
  <si>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</si>
  <si>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</si>
  <si>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</si>
  <si>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</si>
  <si>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</si>
  <si>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</si>
  <si>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</si>
  <si>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</si>
  <si>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</si>
  <si>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</si>
  <si>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</si>
  <si>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</si>
  <si>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</si>
  <si>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</si>
  <si>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</si>
  <si>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</si>
  <si>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</si>
  <si>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</si>
  <si>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</si>
  <si>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</si>
  <si>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</si>
  <si>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</si>
  <si>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</si>
  <si>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</si>
  <si>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</si>
  <si>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</si>
  <si>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</si>
  <si>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</si>
  <si>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</si>
  <si>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</si>
  <si>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</si>
  <si>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</si>
  <si>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</si>
  <si>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</si>
  <si>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</si>
  <si>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</si>
  <si>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</si>
  <si>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</si>
  <si>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</si>
  <si>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</si>
  <si>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</si>
  <si>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</si>
  <si>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</si>
  <si>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</si>
  <si>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</si>
  <si>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</si>
  <si>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</si>
  <si>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</si>
  <si>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</si>
  <si>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</si>
  <si>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</si>
  <si>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</si>
  <si>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</si>
  <si>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</si>
  <si>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</si>
  <si>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</si>
  <si>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</si>
  <si>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</si>
  <si>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</si>
  <si>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</si>
  <si>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</si>
  <si>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</si>
  <si>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</si>
  <si>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</si>
  <si>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</si>
  <si>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</si>
  <si>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</si>
  <si>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</si>
  <si>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</si>
  <si>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</si>
  <si>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</si>
  <si>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</si>
  <si>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</si>
  <si>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</si>
  <si>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</si>
  <si>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</si>
  <si>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</si>
  <si>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</si>
  <si>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</si>
  <si>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</si>
  <si>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</si>
  <si>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</si>
  <si>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</si>
  <si>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</si>
  <si>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</si>
  <si>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</si>
  <si>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</si>
  <si>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</si>
  <si>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</si>
  <si>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</si>
  <si>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</si>
  <si>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</si>
  <si>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</si>
  <si>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</si>
  <si>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</si>
  <si>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</si>
  <si>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</si>
  <si>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</si>
  <si>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</si>
  <si>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</si>
  <si>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</si>
  <si>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</si>
  <si>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</si>
  <si>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</si>
  <si>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</si>
  <si>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</si>
  <si>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</si>
  <si>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</si>
  <si>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</si>
  <si>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</si>
  <si>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</si>
  <si>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</si>
  <si>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</si>
  <si>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</si>
  <si>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</si>
  <si>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</si>
  <si>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</si>
  <si>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</si>
  <si>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</si>
  <si>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</si>
  <si>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</si>
  <si>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</si>
  <si>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</si>
  <si>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</si>
  <si>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</si>
  <si>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</si>
  <si>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</si>
  <si>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</si>
  <si>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</si>
  <si>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</si>
  <si>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</si>
  <si>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</si>
  <si>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</si>
  <si>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</si>
  <si>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</si>
  <si>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</si>
  <si>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</si>
  <si>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</si>
  <si>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</si>
  <si>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</si>
  <si>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</si>
  <si>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</si>
  <si>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</si>
  <si>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</si>
  <si>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</si>
  <si>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</si>
  <si>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</si>
  <si>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</si>
  <si>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</si>
  <si>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</si>
  <si>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</si>
  <si>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</si>
  <si>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</si>
  <si>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</si>
  <si>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</si>
  <si>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</si>
  <si>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</si>
  <si>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</si>
  <si>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</si>
  <si>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</si>
  <si>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</si>
  <si>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</si>
  <si>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</si>
  <si>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</si>
  <si>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</si>
  <si>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</si>
  <si>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</si>
  <si>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</si>
  <si>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</si>
  <si>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</si>
  <si>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</si>
  <si>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</si>
  <si>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</si>
  <si>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</si>
  <si>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</si>
  <si>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</si>
  <si>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</si>
  <si>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</si>
  <si>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</si>
  <si>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</si>
  <si>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</si>
  <si>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</si>
  <si>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</si>
  <si>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</si>
  <si>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</si>
  <si>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</si>
  <si>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</si>
  <si>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</si>
  <si>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</si>
  <si>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</si>
  <si>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</si>
  <si>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</si>
  <si>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</si>
  <si>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</si>
  <si>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</si>
  <si>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</si>
  <si>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</si>
  <si>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</si>
  <si>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</si>
  <si>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</si>
  <si>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</si>
  <si>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</si>
  <si>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</si>
  <si>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</si>
  <si>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</si>
  <si>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</si>
  <si>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</si>
  <si>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</si>
  <si>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</si>
  <si>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</si>
  <si>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</si>
  <si>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</si>
  <si>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</si>
  <si>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</si>
  <si>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</si>
  <si>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</si>
  <si>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</si>
  <si>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</si>
  <si>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</si>
  <si>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</si>
  <si>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</si>
  <si>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</si>
  <si>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</si>
  <si>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</si>
  <si>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</si>
  <si>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</si>
  <si>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</si>
  <si>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</si>
  <si>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</si>
  <si>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</si>
  <si>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</si>
  <si>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</si>
  <si>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</si>
  <si>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</si>
  <si>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</si>
  <si>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</si>
  <si>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</si>
  <si>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</si>
  <si>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</si>
  <si>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</si>
  <si>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</si>
  <si>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</si>
  <si>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</si>
  <si>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</si>
  <si>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</si>
  <si>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</si>
  <si>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</si>
  <si>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</si>
  <si>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</si>
  <si>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</si>
  <si>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</si>
  <si>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</si>
  <si>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</si>
  <si>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</si>
  <si>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</si>
  <si>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</si>
  <si>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</si>
  <si>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</si>
  <si>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</si>
  <si>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</si>
  <si>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</si>
  <si>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</si>
  <si>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</si>
  <si>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</si>
  <si>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</si>
  <si>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</si>
  <si>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</si>
  <si>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</si>
  <si>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</si>
  <si>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</si>
  <si>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</si>
  <si>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</si>
  <si>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</si>
  <si>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</si>
  <si>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</si>
  <si>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</si>
  <si>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</si>
  <si>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</si>
  <si>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</si>
  <si>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</si>
  <si>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</si>
  <si>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</si>
  <si>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</si>
  <si>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</si>
  <si>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</si>
  <si>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</si>
  <si>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</si>
  <si>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</si>
  <si>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</si>
  <si>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</si>
  <si>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</si>
  <si>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</si>
  <si>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</si>
  <si>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</si>
  <si>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</si>
  <si>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</si>
  <si>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</si>
  <si>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Alton School District</t>
  </si>
  <si>
    <t>08/19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</si>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</sst>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15</v>
      </c>
      <c r="C2" s="21">
        <v>15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1022813.11</v>
      </c>
      <c r="G9" s="18">
        <v>112</v>
      </c>
      <c r="H9" s="18">
        <v>0</v>
      </c>
      <c r="I9" s="18">
        <v>0</v>
      </c>
      <c r="J9" s="67">
        <f>SUM(I439)</f>
        <v>1113014.94</v>
      </c>
      <c r="K9" s="24" t="s">
        <v>288</v>
      </c>
      <c r="L9" s="24" t="s">
        <v>288</v>
      </c>
      <c r="M9" s="8"/>
      <c r="N9" s="271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29824.15</v>
      </c>
      <c r="H10" s="18">
        <v>0</v>
      </c>
      <c r="I10" s="18">
        <v>503178.2</v>
      </c>
      <c r="J10" s="67">
        <f>SUM(I440)</f>
        <v>0</v>
      </c>
      <c r="K10" s="24" t="s">
        <v>288</v>
      </c>
      <c r="L10" s="24" t="s">
        <v>288</v>
      </c>
      <c r="M10" s="8"/>
      <c r="N10" s="271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41927.919999999998</v>
      </c>
      <c r="G12" s="18">
        <v>50081.3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1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293378.46000000002</v>
      </c>
      <c r="G13" s="18">
        <v>15612.87</v>
      </c>
      <c r="H13" s="18">
        <v>41871.81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1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1358119.49</v>
      </c>
      <c r="G19" s="41">
        <f>SUM(G9:G18)</f>
        <v>95630.32</v>
      </c>
      <c r="H19" s="41">
        <f>SUM(H9:H18)</f>
        <v>41871.81</v>
      </c>
      <c r="I19" s="41">
        <f>SUM(I9:I18)</f>
        <v>503178.2</v>
      </c>
      <c r="J19" s="41">
        <f>SUM(J9:J18)</f>
        <v>1113014.94</v>
      </c>
      <c r="K19" s="45" t="s">
        <v>288</v>
      </c>
      <c r="L19" s="45" t="s">
        <v>288</v>
      </c>
      <c r="M19" s="8"/>
      <c r="N19" s="271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0</v>
      </c>
      <c r="H22" s="18">
        <v>28076.880000000001</v>
      </c>
      <c r="I22" s="18">
        <v>221953.54</v>
      </c>
      <c r="J22" s="67">
        <f>SUM(I448)</f>
        <v>0</v>
      </c>
      <c r="K22" s="24" t="s">
        <v>288</v>
      </c>
      <c r="L22" s="24" t="s">
        <v>288</v>
      </c>
      <c r="M22" s="8"/>
      <c r="N22" s="271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93429.34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281345.8</v>
      </c>
      <c r="G24" s="18">
        <v>1286.8699999999999</v>
      </c>
      <c r="H24" s="18">
        <v>2145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45">
        <v>0</v>
      </c>
      <c r="H25" s="18">
        <v>0</v>
      </c>
      <c r="I25" s="18">
        <v>243002</v>
      </c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255071.8</v>
      </c>
      <c r="G28" s="18">
        <v>914.11</v>
      </c>
      <c r="H28" s="18">
        <v>11037.78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0</v>
      </c>
      <c r="H30" s="18">
        <v>612.15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536417.6</v>
      </c>
      <c r="G32" s="41">
        <f>SUM(G22:G31)</f>
        <v>95630.319999999992</v>
      </c>
      <c r="H32" s="41">
        <f>SUM(H22:H31)</f>
        <v>41871.810000000005</v>
      </c>
      <c r="I32" s="41">
        <f>SUM(I22:I31)</f>
        <v>464955.54000000004</v>
      </c>
      <c r="J32" s="41">
        <f>SUM(J22:J31)</f>
        <v>0</v>
      </c>
      <c r="K32" s="45" t="s">
        <v>288</v>
      </c>
      <c r="L32" s="45" t="s">
        <v>288</v>
      </c>
      <c r="M32" s="8"/>
      <c r="N32" s="271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1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v>0</v>
      </c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38222.660000000003</v>
      </c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1113014.94</v>
      </c>
      <c r="K48" s="24" t="s">
        <v>288</v>
      </c>
      <c r="L48" s="24" t="s">
        <v>288</v>
      </c>
      <c r="M48" s="8"/>
      <c r="N48" s="271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821701.89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821701.89</v>
      </c>
      <c r="G51" s="41">
        <f>SUM(G35:G50)</f>
        <v>0</v>
      </c>
      <c r="H51" s="41">
        <f>SUM(H35:H50)</f>
        <v>0</v>
      </c>
      <c r="I51" s="41">
        <f>SUM(I35:I50)</f>
        <v>38222.660000000003</v>
      </c>
      <c r="J51" s="41">
        <f>SUM(J35:J50)</f>
        <v>1113014.94</v>
      </c>
      <c r="K51" s="45" t="s">
        <v>288</v>
      </c>
      <c r="L51" s="45" t="s">
        <v>288</v>
      </c>
      <c r="N51" s="269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1358119.49</v>
      </c>
      <c r="G52" s="41">
        <f>G51+G32</f>
        <v>95630.319999999992</v>
      </c>
      <c r="H52" s="41">
        <f>H51+H32</f>
        <v>41871.810000000005</v>
      </c>
      <c r="I52" s="41">
        <f>I51+I32</f>
        <v>503178.20000000007</v>
      </c>
      <c r="J52" s="41">
        <f>J51+J32</f>
        <v>1113014.94</v>
      </c>
      <c r="K52" s="45" t="s">
        <v>288</v>
      </c>
      <c r="L52" s="45" t="s">
        <v>288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10490750</v>
      </c>
      <c r="G57" s="18">
        <v>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1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288</v>
      </c>
      <c r="L59" s="24" t="s">
        <v>288</v>
      </c>
      <c r="M59" s="31"/>
      <c r="N59" s="272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10490750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</v>
      </c>
      <c r="G96" s="18">
        <v>68.290000000000006</v>
      </c>
      <c r="H96" s="18">
        <v>0</v>
      </c>
      <c r="I96" s="18">
        <v>1760.88</v>
      </c>
      <c r="J96" s="18">
        <v>3460.77</v>
      </c>
      <c r="K96" s="24" t="s">
        <v>288</v>
      </c>
      <c r="L96" s="24" t="s">
        <v>288</v>
      </c>
      <c r="M96" s="8"/>
      <c r="N96" s="271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88530.8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534.15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1119.04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1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70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8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205862.97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23031.68</v>
      </c>
      <c r="G110" s="18">
        <v>0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1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230625.84</v>
      </c>
      <c r="G111" s="41">
        <f>SUM(G96:G110)</f>
        <v>88599.09</v>
      </c>
      <c r="H111" s="41">
        <f>SUM(H96:H110)</f>
        <v>0</v>
      </c>
      <c r="I111" s="41">
        <f>SUM(I96:I110)</f>
        <v>1760.88</v>
      </c>
      <c r="J111" s="41">
        <f>SUM(J96:J110)</f>
        <v>3460.77</v>
      </c>
      <c r="K111" s="45" t="s">
        <v>288</v>
      </c>
      <c r="L111" s="45" t="s">
        <v>288</v>
      </c>
      <c r="N111" s="269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10721375.84</v>
      </c>
      <c r="G112" s="41">
        <f>G60+G111</f>
        <v>88599.09</v>
      </c>
      <c r="H112" s="41">
        <f>H60+H79+H94+H111</f>
        <v>0</v>
      </c>
      <c r="I112" s="41">
        <f>I60+I111</f>
        <v>1760.88</v>
      </c>
      <c r="J112" s="41">
        <f>J60+J111</f>
        <v>3460.77</v>
      </c>
      <c r="K112" s="45" t="s">
        <v>288</v>
      </c>
      <c r="L112" s="45" t="s">
        <v>288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0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3664925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288</v>
      </c>
      <c r="L120" s="24" t="s">
        <v>288</v>
      </c>
      <c r="M120" s="8"/>
      <c r="N120" s="271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3664925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46222.87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0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2544.66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1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46222.87</v>
      </c>
      <c r="G136" s="41">
        <f>SUM(G123:G135)</f>
        <v>2544.66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3711147.87</v>
      </c>
      <c r="G140" s="41">
        <f>G121+SUM(G136:G137)</f>
        <v>2544.66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6556.79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224.31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6781.1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80443.289999999994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60728.81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68250.600000000006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117976.39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150795.23000000001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150795.23000000001</v>
      </c>
      <c r="G162" s="41">
        <f>SUM(G150:G161)</f>
        <v>68250.600000000006</v>
      </c>
      <c r="H162" s="41">
        <f>SUM(H150:H161)</f>
        <v>259148.49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150795.23000000001</v>
      </c>
      <c r="G169" s="41">
        <f>G147+G162+SUM(G163:G168)</f>
        <v>75031.700000000012</v>
      </c>
      <c r="H169" s="41">
        <f>H147+H162+SUM(H163:H168)</f>
        <v>259148.49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50081.3</v>
      </c>
      <c r="H179" s="18">
        <v>0</v>
      </c>
      <c r="I179" s="18">
        <v>0</v>
      </c>
      <c r="J179" s="18">
        <v>253352</v>
      </c>
      <c r="K179" s="24" t="s">
        <v>288</v>
      </c>
      <c r="L179" s="24" t="s">
        <v>288</v>
      </c>
      <c r="M179" s="8"/>
      <c r="N179" s="271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1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1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1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50081.3</v>
      </c>
      <c r="H183" s="41">
        <f>SUM(H179:H182)</f>
        <v>0</v>
      </c>
      <c r="I183" s="41">
        <f>SUM(I179:I182)</f>
        <v>0</v>
      </c>
      <c r="J183" s="41">
        <f>SUM(J179:J182)</f>
        <v>253352</v>
      </c>
      <c r="K183" s="45" t="s">
        <v>288</v>
      </c>
      <c r="L183" s="45" t="s">
        <v>288</v>
      </c>
      <c r="M183" s="8"/>
      <c r="N183" s="271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69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50081.3</v>
      </c>
      <c r="H192" s="41">
        <f>+H183+SUM(H188:H191)</f>
        <v>0</v>
      </c>
      <c r="I192" s="41">
        <f>I177+I183+SUM(I188:I191)</f>
        <v>0</v>
      </c>
      <c r="J192" s="41">
        <f>J183</f>
        <v>253352</v>
      </c>
      <c r="K192" s="45" t="s">
        <v>288</v>
      </c>
      <c r="L192" s="45" t="s">
        <v>288</v>
      </c>
      <c r="M192" s="8"/>
      <c r="N192" s="271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14583318.940000001</v>
      </c>
      <c r="G193" s="47">
        <f>G112+G140+G169+G192</f>
        <v>216256.75</v>
      </c>
      <c r="H193" s="47">
        <f>H112+H140+H169+H192</f>
        <v>259148.49</v>
      </c>
      <c r="I193" s="47">
        <f>I112+I140+I169+I192</f>
        <v>1760.88</v>
      </c>
      <c r="J193" s="47">
        <f>J112+J140+J192</f>
        <v>256812.77</v>
      </c>
      <c r="K193" s="45" t="s">
        <v>288</v>
      </c>
      <c r="L193" s="45" t="s">
        <v>288</v>
      </c>
      <c r="M193" s="8"/>
      <c r="N193" s="271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1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2275033.9300000002</v>
      </c>
      <c r="G197" s="18">
        <v>1258000.57</v>
      </c>
      <c r="H197" s="18">
        <v>52606.99</v>
      </c>
      <c r="I197" s="18">
        <v>75091.839999999997</v>
      </c>
      <c r="J197" s="18">
        <v>52288.88</v>
      </c>
      <c r="K197" s="18">
        <v>90274.92</v>
      </c>
      <c r="L197" s="19">
        <f>SUM(F197:K197)</f>
        <v>3803297.13</v>
      </c>
      <c r="M197" s="8"/>
      <c r="N197" s="271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999535.4</v>
      </c>
      <c r="G198" s="18">
        <v>528792.91</v>
      </c>
      <c r="H198" s="18">
        <v>166761.26999999999</v>
      </c>
      <c r="I198" s="18">
        <v>21763.65</v>
      </c>
      <c r="J198" s="18">
        <v>2061.4</v>
      </c>
      <c r="K198" s="18">
        <v>8260.35</v>
      </c>
      <c r="L198" s="19">
        <f>SUM(F198:K198)</f>
        <v>1727174.98</v>
      </c>
      <c r="M198" s="8"/>
      <c r="N198" s="271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32042.73</v>
      </c>
      <c r="G200" s="18">
        <v>5788.73</v>
      </c>
      <c r="H200" s="18">
        <v>16263.77</v>
      </c>
      <c r="I200" s="18">
        <v>14745.57</v>
      </c>
      <c r="J200" s="18">
        <v>10687.9</v>
      </c>
      <c r="K200" s="18">
        <v>1665.5</v>
      </c>
      <c r="L200" s="19">
        <f>SUM(F200:K200)</f>
        <v>81194.199999999983</v>
      </c>
      <c r="M200" s="8"/>
      <c r="N200" s="271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326293.01</v>
      </c>
      <c r="G202" s="18">
        <v>205757.99</v>
      </c>
      <c r="H202" s="18">
        <v>7437.61</v>
      </c>
      <c r="I202" s="18">
        <v>5606.05</v>
      </c>
      <c r="J202" s="18">
        <v>1727.43</v>
      </c>
      <c r="K202" s="18">
        <v>1337</v>
      </c>
      <c r="L202" s="19">
        <f t="shared" ref="L202:L208" si="0">SUM(F202:K202)</f>
        <v>548159.09000000008</v>
      </c>
      <c r="M202" s="8"/>
      <c r="N202" s="271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91528.23</v>
      </c>
      <c r="G203" s="18">
        <v>70367.070000000007</v>
      </c>
      <c r="H203" s="18">
        <v>19684.150000000001</v>
      </c>
      <c r="I203" s="18">
        <v>10993.53</v>
      </c>
      <c r="J203" s="18">
        <v>0</v>
      </c>
      <c r="K203" s="18">
        <v>6933</v>
      </c>
      <c r="L203" s="19">
        <f t="shared" si="0"/>
        <v>199505.97999999998</v>
      </c>
      <c r="M203" s="8"/>
      <c r="N203" s="271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154165.60999999999</v>
      </c>
      <c r="G204" s="18">
        <v>60432.99</v>
      </c>
      <c r="H204" s="18">
        <v>90390.44</v>
      </c>
      <c r="I204" s="18">
        <v>8603.07</v>
      </c>
      <c r="J204" s="18">
        <v>1974.96</v>
      </c>
      <c r="K204" s="18">
        <v>5943.11</v>
      </c>
      <c r="L204" s="19">
        <f t="shared" si="0"/>
        <v>321510.18</v>
      </c>
      <c r="M204" s="8"/>
      <c r="N204" s="271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227191.69</v>
      </c>
      <c r="G205" s="18">
        <v>96444.99</v>
      </c>
      <c r="H205" s="18">
        <v>14768.75</v>
      </c>
      <c r="I205" s="18">
        <v>4557.29</v>
      </c>
      <c r="J205" s="18">
        <v>308.08</v>
      </c>
      <c r="K205" s="18">
        <v>2125</v>
      </c>
      <c r="L205" s="19">
        <f t="shared" si="0"/>
        <v>345395.8</v>
      </c>
      <c r="M205" s="8"/>
      <c r="N205" s="271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79293.33</v>
      </c>
      <c r="G206" s="18">
        <v>42801.1</v>
      </c>
      <c r="H206" s="18">
        <v>2011.43</v>
      </c>
      <c r="I206" s="18">
        <v>951.25</v>
      </c>
      <c r="J206" s="18">
        <v>690.88</v>
      </c>
      <c r="K206" s="18">
        <v>13194.56</v>
      </c>
      <c r="L206" s="19">
        <f t="shared" si="0"/>
        <v>138942.54999999999</v>
      </c>
      <c r="M206" s="8"/>
      <c r="N206" s="271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222949.43</v>
      </c>
      <c r="G207" s="18">
        <v>163125.24</v>
      </c>
      <c r="H207" s="18">
        <v>157348.46</v>
      </c>
      <c r="I207" s="18">
        <v>202012.69</v>
      </c>
      <c r="J207" s="18">
        <v>43620.7</v>
      </c>
      <c r="K207" s="18">
        <v>79886.28</v>
      </c>
      <c r="L207" s="19">
        <f t="shared" si="0"/>
        <v>868942.8</v>
      </c>
      <c r="M207" s="8"/>
      <c r="N207" s="271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430018.9</v>
      </c>
      <c r="I208" s="18">
        <v>0</v>
      </c>
      <c r="J208" s="18">
        <v>0</v>
      </c>
      <c r="K208" s="18">
        <v>0</v>
      </c>
      <c r="L208" s="19">
        <f t="shared" si="0"/>
        <v>430018.9</v>
      </c>
      <c r="M208" s="8"/>
      <c r="N208" s="271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4408033.3600000003</v>
      </c>
      <c r="G211" s="41">
        <f t="shared" si="1"/>
        <v>2431511.5900000008</v>
      </c>
      <c r="H211" s="41">
        <f t="shared" si="1"/>
        <v>957291.77</v>
      </c>
      <c r="I211" s="41">
        <f t="shared" si="1"/>
        <v>344324.94</v>
      </c>
      <c r="J211" s="41">
        <f t="shared" si="1"/>
        <v>113360.23000000001</v>
      </c>
      <c r="K211" s="41">
        <f t="shared" si="1"/>
        <v>209619.72</v>
      </c>
      <c r="L211" s="41">
        <f t="shared" si="1"/>
        <v>8464141.6099999975</v>
      </c>
      <c r="M211" s="8"/>
      <c r="N211" s="271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1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1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1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0</v>
      </c>
      <c r="G233" s="18">
        <v>0</v>
      </c>
      <c r="H233" s="18">
        <v>4359084.5999999996</v>
      </c>
      <c r="I233" s="18">
        <v>0</v>
      </c>
      <c r="J233" s="18">
        <v>0</v>
      </c>
      <c r="K233" s="18">
        <v>0</v>
      </c>
      <c r="L233" s="19">
        <f>SUM(F233:K233)</f>
        <v>4359084.5999999996</v>
      </c>
      <c r="M233" s="8"/>
      <c r="N233" s="271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0</v>
      </c>
      <c r="G234" s="18">
        <v>0</v>
      </c>
      <c r="H234" s="18">
        <v>170143.7</v>
      </c>
      <c r="I234" s="18">
        <v>261.33</v>
      </c>
      <c r="J234" s="18">
        <v>0</v>
      </c>
      <c r="K234" s="18">
        <v>0</v>
      </c>
      <c r="L234" s="19">
        <f>SUM(F234:K234)</f>
        <v>170405.03</v>
      </c>
      <c r="M234" s="8"/>
      <c r="N234" s="271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>
        <v>0</v>
      </c>
      <c r="N238" s="271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156849.76</v>
      </c>
      <c r="I244" s="18">
        <v>0</v>
      </c>
      <c r="J244" s="18">
        <v>0</v>
      </c>
      <c r="K244" s="18">
        <v>0</v>
      </c>
      <c r="L244" s="19">
        <f t="shared" si="4"/>
        <v>156849.76</v>
      </c>
      <c r="M244" s="8"/>
      <c r="N244" s="271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4686078.0599999996</v>
      </c>
      <c r="I247" s="41">
        <f t="shared" si="5"/>
        <v>261.33</v>
      </c>
      <c r="J247" s="41">
        <f t="shared" si="5"/>
        <v>0</v>
      </c>
      <c r="K247" s="41">
        <f t="shared" si="5"/>
        <v>0</v>
      </c>
      <c r="L247" s="41">
        <f t="shared" si="5"/>
        <v>4686339.3899999997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1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161971.06</v>
      </c>
      <c r="I255" s="18"/>
      <c r="J255" s="18">
        <v>489446</v>
      </c>
      <c r="K255" s="18">
        <v>0</v>
      </c>
      <c r="L255" s="19">
        <f t="shared" si="6"/>
        <v>651417.06000000006</v>
      </c>
      <c r="M255" s="8"/>
      <c r="N255" s="271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161971.06</v>
      </c>
      <c r="I256" s="41">
        <f t="shared" si="7"/>
        <v>0</v>
      </c>
      <c r="J256" s="41">
        <f t="shared" si="7"/>
        <v>489446</v>
      </c>
      <c r="K256" s="41">
        <f t="shared" si="7"/>
        <v>0</v>
      </c>
      <c r="L256" s="41">
        <f>SUM(F256:K256)</f>
        <v>651417.06000000006</v>
      </c>
      <c r="M256" s="8"/>
      <c r="N256" s="271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4408033.3600000003</v>
      </c>
      <c r="G257" s="41">
        <f t="shared" si="8"/>
        <v>2431511.5900000008</v>
      </c>
      <c r="H257" s="41">
        <f t="shared" si="8"/>
        <v>5805340.8899999997</v>
      </c>
      <c r="I257" s="41">
        <f t="shared" si="8"/>
        <v>344586.27</v>
      </c>
      <c r="J257" s="41">
        <f t="shared" si="8"/>
        <v>602806.23</v>
      </c>
      <c r="K257" s="41">
        <f t="shared" si="8"/>
        <v>209619.72</v>
      </c>
      <c r="L257" s="41">
        <f t="shared" si="8"/>
        <v>13801898.059999997</v>
      </c>
      <c r="M257" s="8"/>
      <c r="N257" s="271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710000</v>
      </c>
      <c r="L260" s="19">
        <f>SUM(F260:K260)</f>
        <v>710000</v>
      </c>
      <c r="M260" s="8"/>
      <c r="N260" s="271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125970</v>
      </c>
      <c r="L261" s="19">
        <f>SUM(F261:K261)</f>
        <v>125970</v>
      </c>
      <c r="N261" s="269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50081.3</v>
      </c>
      <c r="L263" s="19">
        <f>SUM(F263:K263)</f>
        <v>50081.3</v>
      </c>
      <c r="N263" s="269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69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253352</v>
      </c>
      <c r="L266" s="19">
        <f t="shared" si="9"/>
        <v>253352</v>
      </c>
      <c r="N266" s="269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69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69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1139403.3</v>
      </c>
      <c r="L270" s="41">
        <f t="shared" si="9"/>
        <v>1139403.3</v>
      </c>
      <c r="N270" s="269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4408033.3600000003</v>
      </c>
      <c r="G271" s="42">
        <f t="shared" si="11"/>
        <v>2431511.5900000008</v>
      </c>
      <c r="H271" s="42">
        <f t="shared" si="11"/>
        <v>5805340.8899999997</v>
      </c>
      <c r="I271" s="42">
        <f t="shared" si="11"/>
        <v>344586.27</v>
      </c>
      <c r="J271" s="42">
        <f t="shared" si="11"/>
        <v>602806.23</v>
      </c>
      <c r="K271" s="42">
        <f t="shared" si="11"/>
        <v>1349023.02</v>
      </c>
      <c r="L271" s="42">
        <f t="shared" si="11"/>
        <v>14941301.359999998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1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86839.5</v>
      </c>
      <c r="G276" s="18">
        <v>1775.22</v>
      </c>
      <c r="H276" s="18">
        <v>0</v>
      </c>
      <c r="I276" s="18">
        <v>2011.2</v>
      </c>
      <c r="J276" s="18">
        <v>0</v>
      </c>
      <c r="K276" s="18">
        <v>4375</v>
      </c>
      <c r="L276" s="19">
        <f>SUM(F276:K276)</f>
        <v>95000.92</v>
      </c>
      <c r="M276" s="8"/>
      <c r="N276" s="271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821.85</v>
      </c>
      <c r="G277" s="18">
        <v>0</v>
      </c>
      <c r="H277" s="18">
        <v>319.07</v>
      </c>
      <c r="I277" s="18">
        <v>280.2</v>
      </c>
      <c r="J277" s="18">
        <v>3432.48</v>
      </c>
      <c r="K277" s="18">
        <v>0</v>
      </c>
      <c r="L277" s="19">
        <f>SUM(F277:K277)</f>
        <v>4853.6000000000004</v>
      </c>
      <c r="M277" s="8"/>
      <c r="N277" s="271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89550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89550</v>
      </c>
      <c r="M281" s="8"/>
      <c r="N281" s="271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5555.51</v>
      </c>
      <c r="G282" s="18">
        <v>5170.37</v>
      </c>
      <c r="H282" s="18">
        <v>58133.32</v>
      </c>
      <c r="I282" s="18">
        <v>809.77</v>
      </c>
      <c r="J282" s="18">
        <v>0</v>
      </c>
      <c r="K282" s="18">
        <v>75</v>
      </c>
      <c r="L282" s="19">
        <f t="shared" si="12"/>
        <v>69743.97</v>
      </c>
      <c r="M282" s="8"/>
      <c r="N282" s="271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93216.86</v>
      </c>
      <c r="G290" s="42">
        <f t="shared" si="13"/>
        <v>6945.59</v>
      </c>
      <c r="H290" s="42">
        <f t="shared" si="13"/>
        <v>148002.39000000001</v>
      </c>
      <c r="I290" s="42">
        <f t="shared" si="13"/>
        <v>3101.17</v>
      </c>
      <c r="J290" s="42">
        <f t="shared" si="13"/>
        <v>3432.48</v>
      </c>
      <c r="K290" s="42">
        <f t="shared" si="13"/>
        <v>4450</v>
      </c>
      <c r="L290" s="41">
        <f t="shared" si="13"/>
        <v>259148.49000000002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1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1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1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93216.86</v>
      </c>
      <c r="G338" s="41">
        <f t="shared" si="20"/>
        <v>6945.59</v>
      </c>
      <c r="H338" s="41">
        <f t="shared" si="20"/>
        <v>148002.39000000001</v>
      </c>
      <c r="I338" s="41">
        <f t="shared" si="20"/>
        <v>3101.17</v>
      </c>
      <c r="J338" s="41">
        <f t="shared" si="20"/>
        <v>3432.48</v>
      </c>
      <c r="K338" s="41">
        <f t="shared" si="20"/>
        <v>4450</v>
      </c>
      <c r="L338" s="41">
        <f t="shared" si="20"/>
        <v>259148.49000000002</v>
      </c>
      <c r="M338" s="8"/>
      <c r="N338" s="271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93216.86</v>
      </c>
      <c r="G352" s="41">
        <f>G338</f>
        <v>6945.59</v>
      </c>
      <c r="H352" s="41">
        <f>H338</f>
        <v>148002.39000000001</v>
      </c>
      <c r="I352" s="41">
        <f>I338</f>
        <v>3101.17</v>
      </c>
      <c r="J352" s="41">
        <f>J338</f>
        <v>3432.48</v>
      </c>
      <c r="K352" s="47">
        <f>K338+K351</f>
        <v>4450</v>
      </c>
      <c r="L352" s="41">
        <f>L338+L351</f>
        <v>259148.49000000002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1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94989.64</v>
      </c>
      <c r="G358" s="18">
        <v>25048.42</v>
      </c>
      <c r="H358" s="18">
        <v>1630.75</v>
      </c>
      <c r="I358" s="18">
        <v>91465.36</v>
      </c>
      <c r="J358" s="18">
        <v>1289.08</v>
      </c>
      <c r="K358" s="18">
        <v>1833.5</v>
      </c>
      <c r="L358" s="13">
        <f>SUM(F358:K358)</f>
        <v>216256.74999999997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0</v>
      </c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94989.64</v>
      </c>
      <c r="G362" s="47">
        <f t="shared" si="22"/>
        <v>25048.42</v>
      </c>
      <c r="H362" s="47">
        <f t="shared" si="22"/>
        <v>1630.75</v>
      </c>
      <c r="I362" s="47">
        <f t="shared" si="22"/>
        <v>91465.36</v>
      </c>
      <c r="J362" s="47">
        <f t="shared" si="22"/>
        <v>1289.08</v>
      </c>
      <c r="K362" s="47">
        <f t="shared" si="22"/>
        <v>1833.5</v>
      </c>
      <c r="L362" s="47">
        <f t="shared" si="22"/>
        <v>216256.74999999997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80711.06</v>
      </c>
      <c r="G367" s="18">
        <v>0</v>
      </c>
      <c r="H367" s="18">
        <v>0</v>
      </c>
      <c r="I367" s="56">
        <f>SUM(F367:H367)</f>
        <v>80711.06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10754.3</v>
      </c>
      <c r="G368" s="63">
        <v>0</v>
      </c>
      <c r="H368" s="63">
        <v>0</v>
      </c>
      <c r="I368" s="56">
        <f>SUM(F368:H368)</f>
        <v>10754.3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91465.36</v>
      </c>
      <c r="G369" s="47">
        <f>SUM(G367:G368)</f>
        <v>0</v>
      </c>
      <c r="H369" s="47">
        <f>SUM(H367:H368)</f>
        <v>0</v>
      </c>
      <c r="I369" s="47">
        <f>SUM(I367:I368)</f>
        <v>91465.36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1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>
        <v>0</v>
      </c>
      <c r="G375" s="18">
        <v>0</v>
      </c>
      <c r="H375" s="18">
        <v>248594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248594</v>
      </c>
      <c r="M375" s="8"/>
      <c r="N375" s="271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0</v>
      </c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248594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248594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>
        <v>0</v>
      </c>
      <c r="G387" s="18">
        <v>0</v>
      </c>
      <c r="H387" s="18">
        <v>0</v>
      </c>
      <c r="I387" s="18">
        <v>0</v>
      </c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288</v>
      </c>
      <c r="K388" s="24" t="s">
        <v>288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80000</v>
      </c>
      <c r="H389" s="18">
        <v>680.07</v>
      </c>
      <c r="I389" s="18">
        <v>0</v>
      </c>
      <c r="J389" s="24" t="s">
        <v>288</v>
      </c>
      <c r="K389" s="24" t="s">
        <v>288</v>
      </c>
      <c r="L389" s="56">
        <f t="shared" si="25"/>
        <v>80680.070000000007</v>
      </c>
      <c r="M389" s="8"/>
      <c r="N389" s="271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>
        <v>0</v>
      </c>
      <c r="G391" s="18">
        <v>15000</v>
      </c>
      <c r="H391" s="18">
        <v>104.23</v>
      </c>
      <c r="I391" s="18">
        <v>0</v>
      </c>
      <c r="J391" s="24" t="s">
        <v>288</v>
      </c>
      <c r="K391" s="24" t="s">
        <v>288</v>
      </c>
      <c r="L391" s="56">
        <f t="shared" si="25"/>
        <v>15104.23</v>
      </c>
      <c r="M391" s="8"/>
      <c r="N391" s="271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>
        <v>0</v>
      </c>
      <c r="G392" s="18">
        <v>48352</v>
      </c>
      <c r="H392" s="18">
        <v>396.49</v>
      </c>
      <c r="I392" s="18">
        <v>0</v>
      </c>
      <c r="J392" s="24" t="s">
        <v>288</v>
      </c>
      <c r="K392" s="24" t="s">
        <v>288</v>
      </c>
      <c r="L392" s="56">
        <f t="shared" si="25"/>
        <v>48748.49</v>
      </c>
      <c r="M392" s="8"/>
      <c r="N392" s="271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143352</v>
      </c>
      <c r="H393" s="139">
        <f>SUM(H387:H392)</f>
        <v>1180.79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144532.79</v>
      </c>
      <c r="M393" s="8"/>
      <c r="N393" s="271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>
        <v>110000</v>
      </c>
      <c r="H396" s="18">
        <v>1385.85</v>
      </c>
      <c r="I396" s="18">
        <v>0</v>
      </c>
      <c r="J396" s="24" t="s">
        <v>288</v>
      </c>
      <c r="K396" s="24" t="s">
        <v>288</v>
      </c>
      <c r="L396" s="56">
        <f t="shared" si="26"/>
        <v>111385.85</v>
      </c>
      <c r="M396" s="8"/>
      <c r="N396" s="271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>
        <v>0</v>
      </c>
      <c r="G397" s="18">
        <v>0</v>
      </c>
      <c r="H397" s="18">
        <v>894.13</v>
      </c>
      <c r="I397" s="18">
        <v>0</v>
      </c>
      <c r="J397" s="24" t="s">
        <v>288</v>
      </c>
      <c r="K397" s="24" t="s">
        <v>288</v>
      </c>
      <c r="L397" s="56">
        <f t="shared" si="26"/>
        <v>894.13</v>
      </c>
      <c r="M397" s="8"/>
      <c r="N397" s="271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288</v>
      </c>
      <c r="K400" s="24" t="s">
        <v>288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110000</v>
      </c>
      <c r="H401" s="47">
        <f>SUM(H395:H400)</f>
        <v>2279.98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112279.98000000001</v>
      </c>
      <c r="M401" s="8"/>
      <c r="N401" s="271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253352</v>
      </c>
      <c r="H408" s="47">
        <f>H393+H401+H407</f>
        <v>3460.77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256812.77000000002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1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>
        <v>0</v>
      </c>
      <c r="H422" s="18">
        <v>100238.96</v>
      </c>
      <c r="I422" s="18">
        <v>0</v>
      </c>
      <c r="J422" s="18">
        <v>0</v>
      </c>
      <c r="K422" s="18">
        <v>0</v>
      </c>
      <c r="L422" s="56">
        <f t="shared" si="29"/>
        <v>100238.96</v>
      </c>
      <c r="M422" s="8"/>
      <c r="N422" s="271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100238.96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100238.96</v>
      </c>
      <c r="M427" s="8"/>
      <c r="N427" s="271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100238.96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100238.96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398375.55</v>
      </c>
      <c r="G439" s="18">
        <v>0</v>
      </c>
      <c r="H439" s="18">
        <v>714639.39</v>
      </c>
      <c r="I439" s="56">
        <f t="shared" ref="I439:I445" si="33">SUM(F439:H439)</f>
        <v>1113014.94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398375.55</v>
      </c>
      <c r="G446" s="13">
        <f>SUM(G439:G445)</f>
        <v>0</v>
      </c>
      <c r="H446" s="13">
        <f>SUM(H439:H445)</f>
        <v>714639.39</v>
      </c>
      <c r="I446" s="13">
        <f>SUM(I439:I445)</f>
        <v>1113014.94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398375.55</v>
      </c>
      <c r="G459" s="18">
        <v>0</v>
      </c>
      <c r="H459" s="18">
        <v>714639.39</v>
      </c>
      <c r="I459" s="56">
        <f t="shared" si="34"/>
        <v>1113014.94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398375.55</v>
      </c>
      <c r="G460" s="83">
        <f>SUM(G454:G459)</f>
        <v>0</v>
      </c>
      <c r="H460" s="83">
        <f>SUM(H454:H459)</f>
        <v>714639.39</v>
      </c>
      <c r="I460" s="83">
        <f>SUM(I454:I459)</f>
        <v>1113014.94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398375.55</v>
      </c>
      <c r="G461" s="42">
        <f>G452+G460</f>
        <v>0</v>
      </c>
      <c r="H461" s="42">
        <f>H452+H460</f>
        <v>714639.39</v>
      </c>
      <c r="I461" s="42">
        <f>I452+I460</f>
        <v>1113014.94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1179684.31</v>
      </c>
      <c r="G465" s="18">
        <v>0</v>
      </c>
      <c r="H465" s="18">
        <v>0</v>
      </c>
      <c r="I465" s="18">
        <v>285055.78000000003</v>
      </c>
      <c r="J465" s="18">
        <v>956441.13</v>
      </c>
      <c r="K465" s="24" t="s">
        <v>288</v>
      </c>
      <c r="L465" s="24" t="s">
        <v>288</v>
      </c>
      <c r="N465" s="270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14583318.939999999</v>
      </c>
      <c r="G468" s="18">
        <v>216256.75</v>
      </c>
      <c r="H468" s="18">
        <v>259148.49</v>
      </c>
      <c r="I468" s="18">
        <v>1760.88</v>
      </c>
      <c r="J468" s="18">
        <v>256812.77</v>
      </c>
      <c r="K468" s="24" t="s">
        <v>288</v>
      </c>
      <c r="L468" s="24" t="s">
        <v>288</v>
      </c>
      <c r="N468" s="270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0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14583318.939999999</v>
      </c>
      <c r="G470" s="53">
        <f>SUM(G468:G469)</f>
        <v>216256.75</v>
      </c>
      <c r="H470" s="53">
        <f>SUM(H468:H469)</f>
        <v>259148.49</v>
      </c>
      <c r="I470" s="53">
        <f>SUM(I468:I469)</f>
        <v>1760.88</v>
      </c>
      <c r="J470" s="53">
        <f>SUM(J468:J469)</f>
        <v>256812.77</v>
      </c>
      <c r="K470" s="24" t="s">
        <v>288</v>
      </c>
      <c r="L470" s="24" t="s">
        <v>288</v>
      </c>
      <c r="N470" s="270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14941301.359999999</v>
      </c>
      <c r="G472" s="18">
        <v>216256.75</v>
      </c>
      <c r="H472" s="18">
        <v>259148.49</v>
      </c>
      <c r="I472" s="18">
        <v>248594</v>
      </c>
      <c r="J472" s="18">
        <v>100238.96</v>
      </c>
      <c r="K472" s="24" t="s">
        <v>288</v>
      </c>
      <c r="L472" s="24" t="s">
        <v>288</v>
      </c>
      <c r="N472" s="270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0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14941301.359999999</v>
      </c>
      <c r="G474" s="53">
        <f>SUM(G472:G473)</f>
        <v>216256.75</v>
      </c>
      <c r="H474" s="53">
        <f>SUM(H472:H473)</f>
        <v>259148.49</v>
      </c>
      <c r="I474" s="53">
        <f>SUM(I472:I473)</f>
        <v>248594</v>
      </c>
      <c r="J474" s="53">
        <f>SUM(J472:J473)</f>
        <v>100238.96</v>
      </c>
      <c r="K474" s="24" t="s">
        <v>288</v>
      </c>
      <c r="L474" s="24" t="s">
        <v>288</v>
      </c>
      <c r="N474" s="270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821701.8900000006</v>
      </c>
      <c r="G476" s="53">
        <f>(G465+G470)- G474</f>
        <v>0</v>
      </c>
      <c r="H476" s="53">
        <f>(H465+H470)- H474</f>
        <v>0</v>
      </c>
      <c r="I476" s="53">
        <f>(I465+I470)- I474</f>
        <v>38222.660000000033</v>
      </c>
      <c r="J476" s="53">
        <f>(J465+J470)- J474</f>
        <v>1113014.94</v>
      </c>
      <c r="K476" s="24" t="s">
        <v>288</v>
      </c>
      <c r="L476" s="24" t="s">
        <v>288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5</v>
      </c>
      <c r="G490" s="154">
        <v>0</v>
      </c>
      <c r="H490" s="154">
        <v>0</v>
      </c>
      <c r="I490" s="154">
        <v>0</v>
      </c>
      <c r="J490" s="154">
        <v>0</v>
      </c>
      <c r="K490" s="24" t="s">
        <v>288</v>
      </c>
      <c r="L490" s="24" t="s">
        <v>288</v>
      </c>
      <c r="N490" s="270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 t="s">
        <v>914</v>
      </c>
      <c r="H491" s="154">
        <v>0</v>
      </c>
      <c r="I491" s="154">
        <v>0</v>
      </c>
      <c r="J491" s="154">
        <v>0</v>
      </c>
      <c r="K491" s="24" t="s">
        <v>288</v>
      </c>
      <c r="L491" s="24" t="s">
        <v>288</v>
      </c>
      <c r="N491" s="270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 t="s">
        <v>914</v>
      </c>
      <c r="H492" s="154">
        <v>0</v>
      </c>
      <c r="I492" s="154">
        <v>0</v>
      </c>
      <c r="J492" s="154">
        <v>0</v>
      </c>
      <c r="K492" s="24" t="s">
        <v>288</v>
      </c>
      <c r="L492" s="24" t="s">
        <v>288</v>
      </c>
      <c r="N492" s="270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3535000</v>
      </c>
      <c r="G493" s="18">
        <v>0</v>
      </c>
      <c r="H493" s="18">
        <v>0</v>
      </c>
      <c r="I493" s="18">
        <v>0</v>
      </c>
      <c r="J493" s="18">
        <v>0</v>
      </c>
      <c r="K493" s="24" t="s">
        <v>288</v>
      </c>
      <c r="L493" s="24" t="s">
        <v>288</v>
      </c>
      <c r="N493" s="270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5.0999999999999996</v>
      </c>
      <c r="G494" s="18">
        <v>0</v>
      </c>
      <c r="H494" s="18">
        <v>0</v>
      </c>
      <c r="I494" s="18">
        <v>0</v>
      </c>
      <c r="J494" s="18">
        <v>0</v>
      </c>
      <c r="K494" s="24" t="s">
        <v>288</v>
      </c>
      <c r="L494" s="24" t="s">
        <v>288</v>
      </c>
      <c r="N494" s="270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2115000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2115000</v>
      </c>
      <c r="L495" s="24" t="s">
        <v>288</v>
      </c>
      <c r="N495" s="270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125970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125970</v>
      </c>
      <c r="L496" s="24" t="s">
        <v>288</v>
      </c>
      <c r="N496" s="270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5"/>
        <v>0</v>
      </c>
      <c r="L497" s="24" t="s">
        <v>288</v>
      </c>
      <c r="N497" s="270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2115000</v>
      </c>
      <c r="G498" s="204">
        <v>0</v>
      </c>
      <c r="H498" s="204">
        <v>0</v>
      </c>
      <c r="I498" s="204">
        <v>0</v>
      </c>
      <c r="J498" s="204">
        <v>0</v>
      </c>
      <c r="K498" s="205">
        <f t="shared" si="35"/>
        <v>2115000</v>
      </c>
      <c r="L498" s="206" t="s">
        <v>288</v>
      </c>
      <c r="N498" s="270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161797.5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5"/>
        <v>161797.5</v>
      </c>
      <c r="L499" s="24" t="s">
        <v>288</v>
      </c>
      <c r="N499" s="270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2276797.5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2276797.5</v>
      </c>
      <c r="L500" s="45" t="s">
        <v>288</v>
      </c>
      <c r="N500" s="270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705000</v>
      </c>
      <c r="G501" s="204">
        <v>0</v>
      </c>
      <c r="H501" s="204">
        <v>0</v>
      </c>
      <c r="I501" s="204">
        <v>0</v>
      </c>
      <c r="J501" s="204">
        <v>0</v>
      </c>
      <c r="K501" s="205">
        <f t="shared" si="35"/>
        <v>705000</v>
      </c>
      <c r="L501" s="206" t="s">
        <v>288</v>
      </c>
      <c r="N501" s="270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89887.5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5"/>
        <v>89887.5</v>
      </c>
      <c r="L502" s="24" t="s">
        <v>288</v>
      </c>
      <c r="N502" s="270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794887.5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794887.5</v>
      </c>
      <c r="L503" s="45" t="s">
        <v>288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>
        <v>0</v>
      </c>
      <c r="G511" s="24" t="s">
        <v>288</v>
      </c>
      <c r="H511" s="18">
        <v>0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>
        <v>0</v>
      </c>
      <c r="G512" s="24" t="s">
        <v>288</v>
      </c>
      <c r="H512" s="18">
        <v>0</v>
      </c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0</v>
      </c>
      <c r="G513" s="24" t="s">
        <v>288</v>
      </c>
      <c r="H513" s="18">
        <v>0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0</v>
      </c>
      <c r="G514" s="24" t="s">
        <v>288</v>
      </c>
      <c r="H514" s="18">
        <v>0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>
        <v>0</v>
      </c>
      <c r="G515" s="24" t="s">
        <v>288</v>
      </c>
      <c r="H515" s="18">
        <v>0</v>
      </c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>
        <v>0</v>
      </c>
      <c r="H516" s="24" t="s">
        <v>288</v>
      </c>
      <c r="I516" s="18">
        <v>0</v>
      </c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0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767257.67</v>
      </c>
      <c r="G521" s="18">
        <v>419911.29</v>
      </c>
      <c r="H521" s="18">
        <v>164326.34</v>
      </c>
      <c r="I521" s="18">
        <v>18278.28</v>
      </c>
      <c r="J521" s="18">
        <v>5493.88</v>
      </c>
      <c r="K521" s="18">
        <v>6572.85</v>
      </c>
      <c r="L521" s="88">
        <f>SUM(F521:K521)</f>
        <v>1381840.31</v>
      </c>
      <c r="N521" s="270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0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0</v>
      </c>
      <c r="G523" s="18">
        <v>0</v>
      </c>
      <c r="H523" s="18">
        <v>169586.03</v>
      </c>
      <c r="I523" s="18">
        <v>819</v>
      </c>
      <c r="J523" s="18">
        <v>0</v>
      </c>
      <c r="K523" s="18">
        <v>0</v>
      </c>
      <c r="L523" s="88">
        <f>SUM(F523:K523)</f>
        <v>170405.03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767257.67</v>
      </c>
      <c r="G524" s="108">
        <f t="shared" ref="G524:L524" si="36">SUM(G521:G523)</f>
        <v>419911.29</v>
      </c>
      <c r="H524" s="108">
        <f t="shared" si="36"/>
        <v>333912.37</v>
      </c>
      <c r="I524" s="108">
        <f t="shared" si="36"/>
        <v>19097.28</v>
      </c>
      <c r="J524" s="108">
        <f t="shared" si="36"/>
        <v>5493.88</v>
      </c>
      <c r="K524" s="108">
        <f t="shared" si="36"/>
        <v>6572.85</v>
      </c>
      <c r="L524" s="89">
        <f t="shared" si="36"/>
        <v>1552245.34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71875.960000000006</v>
      </c>
      <c r="G526" s="18">
        <v>58266.73</v>
      </c>
      <c r="H526" s="18">
        <v>0</v>
      </c>
      <c r="I526" s="18">
        <v>1178.7</v>
      </c>
      <c r="J526" s="18">
        <v>0</v>
      </c>
      <c r="K526" s="18">
        <v>0</v>
      </c>
      <c r="L526" s="88">
        <f>SUM(F526:K526)</f>
        <v>131321.39000000001</v>
      </c>
      <c r="M526" s="8"/>
      <c r="N526" s="271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71875.960000000006</v>
      </c>
      <c r="G529" s="89">
        <f t="shared" ref="G529:L529" si="37">SUM(G526:G528)</f>
        <v>58266.73</v>
      </c>
      <c r="H529" s="89">
        <f t="shared" si="37"/>
        <v>0</v>
      </c>
      <c r="I529" s="89">
        <f t="shared" si="37"/>
        <v>1178.7</v>
      </c>
      <c r="J529" s="89">
        <f t="shared" si="37"/>
        <v>0</v>
      </c>
      <c r="K529" s="89">
        <f t="shared" si="37"/>
        <v>0</v>
      </c>
      <c r="L529" s="89">
        <f t="shared" si="37"/>
        <v>131321.39000000001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123149.09</v>
      </c>
      <c r="G531" s="18">
        <v>63616.42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186765.51</v>
      </c>
      <c r="M531" s="8"/>
      <c r="N531" s="271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123149.09</v>
      </c>
      <c r="G534" s="89">
        <f t="shared" ref="G534:L534" si="38">SUM(G531:G533)</f>
        <v>63616.42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186765.51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1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0</v>
      </c>
      <c r="G541" s="18">
        <v>0</v>
      </c>
      <c r="H541" s="18">
        <v>131863.14000000001</v>
      </c>
      <c r="I541" s="18">
        <v>0</v>
      </c>
      <c r="J541" s="18">
        <v>0</v>
      </c>
      <c r="K541" s="18">
        <v>0</v>
      </c>
      <c r="L541" s="88">
        <f>SUM(F541:K541)</f>
        <v>131863.14000000001</v>
      </c>
      <c r="M541" s="8"/>
      <c r="N541" s="271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12055.46</v>
      </c>
      <c r="I543" s="18">
        <v>0</v>
      </c>
      <c r="J543" s="18">
        <v>0</v>
      </c>
      <c r="K543" s="18">
        <v>0</v>
      </c>
      <c r="L543" s="88">
        <f>SUM(F543:K543)</f>
        <v>12055.46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143918.6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143918.6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962282.72</v>
      </c>
      <c r="G545" s="89">
        <f t="shared" ref="G545:L545" si="41">G524+G529+G534+G539+G544</f>
        <v>541794.43999999994</v>
      </c>
      <c r="H545" s="89">
        <f t="shared" si="41"/>
        <v>477830.97</v>
      </c>
      <c r="I545" s="89">
        <f t="shared" si="41"/>
        <v>20275.98</v>
      </c>
      <c r="J545" s="89">
        <f t="shared" si="41"/>
        <v>5493.88</v>
      </c>
      <c r="K545" s="89">
        <f t="shared" si="41"/>
        <v>6572.85</v>
      </c>
      <c r="L545" s="89">
        <f t="shared" si="41"/>
        <v>2014250.84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1381840.31</v>
      </c>
      <c r="G549" s="87">
        <f>L526</f>
        <v>131321.39000000001</v>
      </c>
      <c r="H549" s="87">
        <f>L531</f>
        <v>186765.51</v>
      </c>
      <c r="I549" s="87">
        <f>L536</f>
        <v>0</v>
      </c>
      <c r="J549" s="87">
        <f>L541</f>
        <v>131863.14000000001</v>
      </c>
      <c r="K549" s="87">
        <f>SUM(F549:J549)</f>
        <v>1831790.35</v>
      </c>
      <c r="L549" s="24" t="s">
        <v>288</v>
      </c>
      <c r="M549" s="8"/>
      <c r="N549" s="271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1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170405.03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12055.46</v>
      </c>
      <c r="K551" s="87">
        <f>SUM(F551:J551)</f>
        <v>182460.49</v>
      </c>
      <c r="L551" s="24" t="s">
        <v>288</v>
      </c>
      <c r="M551" s="8"/>
      <c r="N551" s="271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1552245.34</v>
      </c>
      <c r="G552" s="89">
        <f t="shared" si="42"/>
        <v>131321.39000000001</v>
      </c>
      <c r="H552" s="89">
        <f t="shared" si="42"/>
        <v>186765.51</v>
      </c>
      <c r="I552" s="89">
        <f t="shared" si="42"/>
        <v>0</v>
      </c>
      <c r="J552" s="89">
        <f t="shared" si="42"/>
        <v>143918.6</v>
      </c>
      <c r="K552" s="89">
        <f t="shared" si="42"/>
        <v>2014250.84</v>
      </c>
      <c r="L552" s="24"/>
      <c r="M552" s="8"/>
      <c r="N552" s="271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109950.49</v>
      </c>
      <c r="G567" s="18">
        <v>45265.2</v>
      </c>
      <c r="H567" s="18">
        <v>2754</v>
      </c>
      <c r="I567" s="18">
        <v>3765.57</v>
      </c>
      <c r="J567" s="18">
        <v>0</v>
      </c>
      <c r="K567" s="18">
        <v>1687.5</v>
      </c>
      <c r="L567" s="88">
        <f>SUM(F567:K567)</f>
        <v>163422.76</v>
      </c>
      <c r="M567" s="8"/>
      <c r="N567" s="271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109950.49</v>
      </c>
      <c r="G570" s="193">
        <f t="shared" ref="G570:L570" si="45">SUM(G567:G569)</f>
        <v>45265.2</v>
      </c>
      <c r="H570" s="193">
        <f t="shared" si="45"/>
        <v>2754</v>
      </c>
      <c r="I570" s="193">
        <f t="shared" si="45"/>
        <v>3765.57</v>
      </c>
      <c r="J570" s="193">
        <f t="shared" si="45"/>
        <v>0</v>
      </c>
      <c r="K570" s="193">
        <f t="shared" si="45"/>
        <v>1687.5</v>
      </c>
      <c r="L570" s="193">
        <f t="shared" si="45"/>
        <v>163422.76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109950.49</v>
      </c>
      <c r="G571" s="89">
        <f t="shared" ref="G571:L571" si="46">G560+G565+G570</f>
        <v>45265.2</v>
      </c>
      <c r="H571" s="89">
        <f t="shared" si="46"/>
        <v>2754</v>
      </c>
      <c r="I571" s="89">
        <f t="shared" si="46"/>
        <v>3765.57</v>
      </c>
      <c r="J571" s="89">
        <f t="shared" si="46"/>
        <v>0</v>
      </c>
      <c r="K571" s="89">
        <f t="shared" si="46"/>
        <v>1687.5</v>
      </c>
      <c r="L571" s="89">
        <f t="shared" si="46"/>
        <v>163422.76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4359084.5999999996</v>
      </c>
      <c r="I577" s="87">
        <f t="shared" si="47"/>
        <v>4359084.5999999996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0</v>
      </c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126972.98</v>
      </c>
      <c r="G582" s="18">
        <v>0</v>
      </c>
      <c r="H582" s="18">
        <v>819</v>
      </c>
      <c r="I582" s="87">
        <f t="shared" si="47"/>
        <v>127791.98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>
        <v>0</v>
      </c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274855.58</v>
      </c>
      <c r="I591" s="18">
        <v>0</v>
      </c>
      <c r="J591" s="18">
        <v>144794.29999999999</v>
      </c>
      <c r="K591" s="104">
        <f t="shared" ref="K591:K597" si="48">SUM(H591:J591)</f>
        <v>419649.88</v>
      </c>
      <c r="L591" s="24" t="s">
        <v>288</v>
      </c>
      <c r="M591" s="8"/>
      <c r="N591" s="271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131863.14000000001</v>
      </c>
      <c r="I592" s="18">
        <v>0</v>
      </c>
      <c r="J592" s="18">
        <v>12055.46</v>
      </c>
      <c r="K592" s="104">
        <f t="shared" si="48"/>
        <v>143918.6</v>
      </c>
      <c r="L592" s="24" t="s">
        <v>288</v>
      </c>
      <c r="M592" s="8"/>
      <c r="N592" s="271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288</v>
      </c>
      <c r="M593" s="8"/>
      <c r="N593" s="271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12826.5</v>
      </c>
      <c r="I594" s="18">
        <v>0</v>
      </c>
      <c r="J594" s="18">
        <v>0</v>
      </c>
      <c r="K594" s="104">
        <f t="shared" si="48"/>
        <v>12826.5</v>
      </c>
      <c r="L594" s="24" t="s">
        <v>288</v>
      </c>
      <c r="M594" s="8"/>
      <c r="N594" s="271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10473.68</v>
      </c>
      <c r="I595" s="18">
        <v>0</v>
      </c>
      <c r="J595" s="18">
        <v>0</v>
      </c>
      <c r="K595" s="104">
        <f t="shared" si="48"/>
        <v>10473.68</v>
      </c>
      <c r="L595" s="24" t="s">
        <v>288</v>
      </c>
      <c r="M595" s="8"/>
      <c r="N595" s="271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288</v>
      </c>
      <c r="M596" s="8"/>
      <c r="N596" s="271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288</v>
      </c>
      <c r="M597" s="8"/>
      <c r="N597" s="271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430018.9</v>
      </c>
      <c r="I598" s="108">
        <f>SUM(I591:I597)</f>
        <v>0</v>
      </c>
      <c r="J598" s="108">
        <f>SUM(J591:J597)</f>
        <v>156849.75999999998</v>
      </c>
      <c r="K598" s="108">
        <f>SUM(K591:K597)</f>
        <v>586868.66</v>
      </c>
      <c r="L598" s="24" t="s">
        <v>288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1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1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116792.71</v>
      </c>
      <c r="I604" s="18">
        <v>0</v>
      </c>
      <c r="J604" s="18">
        <v>0</v>
      </c>
      <c r="K604" s="104">
        <f>SUM(H604:J604)</f>
        <v>116792.71</v>
      </c>
      <c r="L604" s="24" t="s">
        <v>288</v>
      </c>
      <c r="M604" s="8"/>
      <c r="N604" s="271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116792.71</v>
      </c>
      <c r="I605" s="108">
        <f>SUM(I602:I604)</f>
        <v>0</v>
      </c>
      <c r="J605" s="108">
        <f>SUM(J602:J604)</f>
        <v>0</v>
      </c>
      <c r="K605" s="108">
        <f>SUM(K602:K604)</f>
        <v>116792.71</v>
      </c>
      <c r="L605" s="24" t="s">
        <v>288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2549.25</v>
      </c>
      <c r="G611" s="18">
        <v>528.33000000000004</v>
      </c>
      <c r="H611" s="18">
        <v>0</v>
      </c>
      <c r="I611" s="18">
        <v>3011.32</v>
      </c>
      <c r="J611" s="18">
        <v>0</v>
      </c>
      <c r="K611" s="18">
        <v>0</v>
      </c>
      <c r="L611" s="88">
        <f>SUM(F611:K611)</f>
        <v>6088.9</v>
      </c>
      <c r="M611" s="8"/>
      <c r="N611" s="271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2549.25</v>
      </c>
      <c r="G614" s="108">
        <f t="shared" si="49"/>
        <v>528.33000000000004</v>
      </c>
      <c r="H614" s="108">
        <f t="shared" si="49"/>
        <v>0</v>
      </c>
      <c r="I614" s="108">
        <f t="shared" si="49"/>
        <v>3011.32</v>
      </c>
      <c r="J614" s="108">
        <f t="shared" si="49"/>
        <v>0</v>
      </c>
      <c r="K614" s="108">
        <f t="shared" si="49"/>
        <v>0</v>
      </c>
      <c r="L614" s="89">
        <f t="shared" si="49"/>
        <v>6088.9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1358119.49</v>
      </c>
      <c r="H617" s="109">
        <f>SUM(F52)</f>
        <v>1358119.49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95630.32</v>
      </c>
      <c r="H618" s="109">
        <f>SUM(G52)</f>
        <v>95630.319999999992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41871.81</v>
      </c>
      <c r="H619" s="109">
        <f>SUM(H52)</f>
        <v>41871.810000000005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503178.2</v>
      </c>
      <c r="H620" s="109">
        <f>SUM(I52)</f>
        <v>503178.20000000007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1113014.94</v>
      </c>
      <c r="H621" s="109">
        <f>SUM(J52)</f>
        <v>1113014.94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821701.89</v>
      </c>
      <c r="H622" s="109">
        <f>F476</f>
        <v>821701.8900000006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38222.660000000003</v>
      </c>
      <c r="H625" s="109">
        <f>I476</f>
        <v>38222.660000000033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1113014.94</v>
      </c>
      <c r="H626" s="109">
        <f>J476</f>
        <v>1113014.94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14583318.940000001</v>
      </c>
      <c r="H627" s="104">
        <f>SUM(F468)</f>
        <v>14583318.939999999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216256.75</v>
      </c>
      <c r="H628" s="104">
        <f>SUM(G468)</f>
        <v>216256.75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259148.49</v>
      </c>
      <c r="H629" s="104">
        <f>SUM(H468)</f>
        <v>259148.49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1760.88</v>
      </c>
      <c r="H630" s="104">
        <f>SUM(I468)</f>
        <v>1760.88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256812.77</v>
      </c>
      <c r="H631" s="104">
        <f>SUM(J468)</f>
        <v>256812.77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14941301.359999998</v>
      </c>
      <c r="H632" s="104">
        <f>SUM(F472)</f>
        <v>14941301.359999999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259148.49000000002</v>
      </c>
      <c r="H633" s="104">
        <f>SUM(H472)</f>
        <v>259148.49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91465.36</v>
      </c>
      <c r="H634" s="104">
        <f>I369</f>
        <v>91465.36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216256.74999999997</v>
      </c>
      <c r="H635" s="104">
        <f>SUM(G472)</f>
        <v>216256.75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248594</v>
      </c>
      <c r="H636" s="104">
        <f>SUM(I472)</f>
        <v>248594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256812.77000000002</v>
      </c>
      <c r="H637" s="164">
        <f>SUM(J468)</f>
        <v>256812.77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100238.96</v>
      </c>
      <c r="H638" s="164">
        <f>SUM(J472)</f>
        <v>100238.96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398375.55</v>
      </c>
      <c r="H639" s="104">
        <f>SUM(F461)</f>
        <v>398375.55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714639.39</v>
      </c>
      <c r="H641" s="104">
        <f>SUM(H461)</f>
        <v>714639.39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1113014.94</v>
      </c>
      <c r="H642" s="104">
        <f>SUM(I461)</f>
        <v>1113014.94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3460.77</v>
      </c>
      <c r="H644" s="104">
        <f>H408</f>
        <v>3460.77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253352</v>
      </c>
      <c r="H645" s="104">
        <f>G408</f>
        <v>253352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256812.77</v>
      </c>
      <c r="H646" s="104">
        <f>L408</f>
        <v>256812.77000000002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586868.66</v>
      </c>
      <c r="H647" s="104">
        <f>L208+L226+L244</f>
        <v>586868.66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116792.71</v>
      </c>
      <c r="H648" s="104">
        <f>(J257+J338)-(J255+J336)</f>
        <v>116792.70999999996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430018.9</v>
      </c>
      <c r="H649" s="104">
        <f>H598</f>
        <v>430018.9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156849.76</v>
      </c>
      <c r="H651" s="104">
        <f>J598</f>
        <v>156849.75999999998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50081.3</v>
      </c>
      <c r="H652" s="104">
        <f>K263+K345</f>
        <v>50081.3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253352</v>
      </c>
      <c r="H655" s="104">
        <f>K266+K347</f>
        <v>253352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8939546.8499999978</v>
      </c>
      <c r="G660" s="19">
        <f>(L229+L309+L359)</f>
        <v>0</v>
      </c>
      <c r="H660" s="19">
        <f>(L247+L328+L360)</f>
        <v>4686339.3899999997</v>
      </c>
      <c r="I660" s="19">
        <f>SUM(F660:H660)</f>
        <v>13625886.239999998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88530.8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88530.8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430018.9</v>
      </c>
      <c r="G662" s="19">
        <f>(L226+L306)-(J226+J306)</f>
        <v>0</v>
      </c>
      <c r="H662" s="19">
        <f>(L244+L325)-(J244+J325)</f>
        <v>156849.76</v>
      </c>
      <c r="I662" s="19">
        <f>SUM(F662:H662)</f>
        <v>586868.66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249854.59</v>
      </c>
      <c r="G663" s="199">
        <f>SUM(G575:G587)+SUM(I602:I604)+L612</f>
        <v>0</v>
      </c>
      <c r="H663" s="199">
        <f>SUM(H575:H587)+SUM(J602:J604)+L613</f>
        <v>4359903.5999999996</v>
      </c>
      <c r="I663" s="19">
        <f>SUM(F663:H663)</f>
        <v>4609758.1899999995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8171142.5599999977</v>
      </c>
      <c r="G664" s="19">
        <f>G660-SUM(G661:G663)</f>
        <v>0</v>
      </c>
      <c r="H664" s="19">
        <f>H660-SUM(H661:H663)</f>
        <v>169586.03000000026</v>
      </c>
      <c r="I664" s="19">
        <f>I660-SUM(I661:I663)</f>
        <v>8340728.5899999989</v>
      </c>
      <c r="J664" s="13"/>
      <c r="K664" s="13"/>
      <c r="L664" s="13"/>
      <c r="M664" s="9"/>
    </row>
    <row r="665" spans="1:13" s="3" customFormat="1" ht="12" customHeight="1" x14ac:dyDescent="0.15">
      <c r="A665" s="1" t="s">
        <v>131</v>
      </c>
      <c r="F665" s="18">
        <v>450.95</v>
      </c>
      <c r="G665" s="247"/>
      <c r="H665" s="247"/>
      <c r="I665" s="19">
        <f>SUM(F665:H665)</f>
        <v>450.95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18119.84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18495.91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-169586.03</v>
      </c>
      <c r="I669" s="19">
        <f>SUM(F669:H669)</f>
        <v>-169586.03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18119.84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18119.84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Alton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7" t="s">
        <v>783</v>
      </c>
      <c r="B3" s="277"/>
      <c r="C3" s="277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782</v>
      </c>
      <c r="C6" s="276"/>
    </row>
    <row r="7" spans="1:3" x14ac:dyDescent="0.2">
      <c r="A7" s="239" t="s">
        <v>785</v>
      </c>
      <c r="B7" s="274" t="s">
        <v>781</v>
      </c>
      <c r="C7" s="275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2361873.4300000002</v>
      </c>
      <c r="C9" s="229">
        <f>'DOE25'!G197+'DOE25'!G215+'DOE25'!G233+'DOE25'!G276+'DOE25'!G295+'DOE25'!G314</f>
        <v>1259775.79</v>
      </c>
    </row>
    <row r="10" spans="1:3" x14ac:dyDescent="0.2">
      <c r="A10" t="s">
        <v>778</v>
      </c>
      <c r="B10" s="240">
        <v>2127689</v>
      </c>
      <c r="C10" s="240">
        <v>1134911.58</v>
      </c>
    </row>
    <row r="11" spans="1:3" x14ac:dyDescent="0.2">
      <c r="A11" t="s">
        <v>779</v>
      </c>
      <c r="B11" s="240">
        <v>154352.4</v>
      </c>
      <c r="C11" s="240">
        <v>110123.15</v>
      </c>
    </row>
    <row r="12" spans="1:3" x14ac:dyDescent="0.2">
      <c r="A12" t="s">
        <v>780</v>
      </c>
      <c r="B12" s="240">
        <v>79832.03</v>
      </c>
      <c r="C12" s="240">
        <v>14741.06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2361873.4299999997</v>
      </c>
      <c r="C13" s="231">
        <f>SUM(C10:C12)</f>
        <v>1259775.79</v>
      </c>
    </row>
    <row r="14" spans="1:3" x14ac:dyDescent="0.2">
      <c r="B14" s="230"/>
      <c r="C14" s="230"/>
    </row>
    <row r="15" spans="1:3" x14ac:dyDescent="0.2">
      <c r="B15" s="276" t="s">
        <v>782</v>
      </c>
      <c r="C15" s="276"/>
    </row>
    <row r="16" spans="1:3" x14ac:dyDescent="0.2">
      <c r="A16" s="239" t="s">
        <v>786</v>
      </c>
      <c r="B16" s="274" t="s">
        <v>706</v>
      </c>
      <c r="C16" s="275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1000357.25</v>
      </c>
      <c r="C18" s="229">
        <f>'DOE25'!G198+'DOE25'!G216+'DOE25'!G234+'DOE25'!G277+'DOE25'!G296+'DOE25'!G315</f>
        <v>528792.91</v>
      </c>
    </row>
    <row r="19" spans="1:3" x14ac:dyDescent="0.2">
      <c r="A19" t="s">
        <v>778</v>
      </c>
      <c r="B19" s="240">
        <v>590479.44999999995</v>
      </c>
      <c r="C19" s="240">
        <v>341142.41</v>
      </c>
    </row>
    <row r="20" spans="1:3" x14ac:dyDescent="0.2">
      <c r="A20" t="s">
        <v>779</v>
      </c>
      <c r="B20" s="240">
        <v>391554.05</v>
      </c>
      <c r="C20" s="240">
        <v>184512.73</v>
      </c>
    </row>
    <row r="21" spans="1:3" x14ac:dyDescent="0.2">
      <c r="A21" t="s">
        <v>780</v>
      </c>
      <c r="B21" s="240">
        <v>18323.75</v>
      </c>
      <c r="C21" s="240">
        <v>3137.77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1000357.25</v>
      </c>
      <c r="C22" s="231">
        <f>SUM(C19:C21)</f>
        <v>528792.91</v>
      </c>
    </row>
    <row r="23" spans="1:3" x14ac:dyDescent="0.2">
      <c r="B23" s="230"/>
      <c r="C23" s="230"/>
    </row>
    <row r="24" spans="1:3" x14ac:dyDescent="0.2">
      <c r="B24" s="276" t="s">
        <v>782</v>
      </c>
      <c r="C24" s="276"/>
    </row>
    <row r="25" spans="1:3" x14ac:dyDescent="0.2">
      <c r="A25" s="239" t="s">
        <v>787</v>
      </c>
      <c r="B25" s="274" t="s">
        <v>707</v>
      </c>
      <c r="C25" s="275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782</v>
      </c>
      <c r="C33" s="276"/>
    </row>
    <row r="34" spans="1:3" x14ac:dyDescent="0.2">
      <c r="A34" s="239" t="s">
        <v>788</v>
      </c>
      <c r="B34" s="274" t="s">
        <v>708</v>
      </c>
      <c r="C34" s="275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32042.73</v>
      </c>
      <c r="C36" s="235">
        <f>'DOE25'!G200+'DOE25'!G218+'DOE25'!G236+'DOE25'!G279+'DOE25'!G298+'DOE25'!G317</f>
        <v>5788.73</v>
      </c>
    </row>
    <row r="37" spans="1:3" x14ac:dyDescent="0.2">
      <c r="A37" t="s">
        <v>778</v>
      </c>
      <c r="B37" s="240">
        <v>7206.25</v>
      </c>
      <c r="C37" s="240">
        <v>4456.91</v>
      </c>
    </row>
    <row r="38" spans="1:3" x14ac:dyDescent="0.2">
      <c r="A38" t="s">
        <v>779</v>
      </c>
      <c r="B38" s="240">
        <v>1468</v>
      </c>
      <c r="C38" s="240">
        <v>613.48</v>
      </c>
    </row>
    <row r="39" spans="1:3" x14ac:dyDescent="0.2">
      <c r="A39" t="s">
        <v>780</v>
      </c>
      <c r="B39" s="240">
        <v>23368.48</v>
      </c>
      <c r="C39" s="240">
        <v>718.34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32042.73</v>
      </c>
      <c r="C40" s="231">
        <f>SUM(C37:C39)</f>
        <v>5788.73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789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716</v>
      </c>
      <c r="B2" s="264" t="str">
        <f>'DOE25'!A2</f>
        <v>Alton School District</v>
      </c>
      <c r="C2" s="181"/>
      <c r="D2" s="181" t="s">
        <v>791</v>
      </c>
      <c r="E2" s="181" t="s">
        <v>793</v>
      </c>
      <c r="F2" s="278" t="s">
        <v>820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10141155.939999999</v>
      </c>
      <c r="D5" s="20">
        <f>SUM('DOE25'!L197:L200)+SUM('DOE25'!L215:L218)+SUM('DOE25'!L233:L236)-F5-G5</f>
        <v>9975916.9900000002</v>
      </c>
      <c r="E5" s="243"/>
      <c r="F5" s="254">
        <f>SUM('DOE25'!J197:J200)+SUM('DOE25'!J215:J218)+SUM('DOE25'!J233:J236)</f>
        <v>65038.18</v>
      </c>
      <c r="G5" s="53">
        <f>SUM('DOE25'!K197:K200)+SUM('DOE25'!K215:K218)+SUM('DOE25'!K233:K236)</f>
        <v>100200.77</v>
      </c>
      <c r="H5" s="258"/>
    </row>
    <row r="6" spans="1:9" x14ac:dyDescent="0.2">
      <c r="A6" s="32">
        <v>2100</v>
      </c>
      <c r="B6" t="s">
        <v>800</v>
      </c>
      <c r="C6" s="245">
        <f t="shared" si="0"/>
        <v>548159.09000000008</v>
      </c>
      <c r="D6" s="20">
        <f>'DOE25'!L202+'DOE25'!L220+'DOE25'!L238-F6-G6</f>
        <v>545094.66</v>
      </c>
      <c r="E6" s="243"/>
      <c r="F6" s="254">
        <f>'DOE25'!J202+'DOE25'!J220+'DOE25'!J238</f>
        <v>1727.43</v>
      </c>
      <c r="G6" s="53">
        <f>'DOE25'!K202+'DOE25'!K220+'DOE25'!K238</f>
        <v>1337</v>
      </c>
      <c r="H6" s="258"/>
    </row>
    <row r="7" spans="1:9" x14ac:dyDescent="0.2">
      <c r="A7" s="32">
        <v>2200</v>
      </c>
      <c r="B7" t="s">
        <v>833</v>
      </c>
      <c r="C7" s="245">
        <f t="shared" si="0"/>
        <v>199505.97999999998</v>
      </c>
      <c r="D7" s="20">
        <f>'DOE25'!L203+'DOE25'!L221+'DOE25'!L239-F7-G7</f>
        <v>192572.97999999998</v>
      </c>
      <c r="E7" s="243"/>
      <c r="F7" s="254">
        <f>'DOE25'!J203+'DOE25'!J221+'DOE25'!J239</f>
        <v>0</v>
      </c>
      <c r="G7" s="53">
        <f>'DOE25'!K203+'DOE25'!K221+'DOE25'!K239</f>
        <v>6933</v>
      </c>
      <c r="H7" s="258"/>
    </row>
    <row r="8" spans="1:9" x14ac:dyDescent="0.2">
      <c r="A8" s="32">
        <v>2300</v>
      </c>
      <c r="B8" t="s">
        <v>801</v>
      </c>
      <c r="C8" s="245">
        <f t="shared" si="0"/>
        <v>39169.819999999971</v>
      </c>
      <c r="D8" s="243"/>
      <c r="E8" s="20">
        <f>'DOE25'!L204+'DOE25'!L222+'DOE25'!L240-F8-G8-D9-D11</f>
        <v>31251.749999999971</v>
      </c>
      <c r="F8" s="254">
        <f>'DOE25'!J204+'DOE25'!J222+'DOE25'!J240</f>
        <v>1974.96</v>
      </c>
      <c r="G8" s="53">
        <f>'DOE25'!K204+'DOE25'!K222+'DOE25'!K240</f>
        <v>5943.11</v>
      </c>
      <c r="H8" s="258"/>
    </row>
    <row r="9" spans="1:9" x14ac:dyDescent="0.2">
      <c r="A9" s="32">
        <v>2310</v>
      </c>
      <c r="B9" t="s">
        <v>817</v>
      </c>
      <c r="C9" s="245">
        <f t="shared" si="0"/>
        <v>78042.210000000006</v>
      </c>
      <c r="D9" s="244">
        <v>78042.210000000006</v>
      </c>
      <c r="E9" s="243"/>
      <c r="F9" s="257"/>
      <c r="G9" s="255"/>
      <c r="H9" s="258"/>
    </row>
    <row r="10" spans="1:9" x14ac:dyDescent="0.2">
      <c r="A10" s="32">
        <v>2317</v>
      </c>
      <c r="B10" t="s">
        <v>818</v>
      </c>
      <c r="C10" s="245">
        <f t="shared" si="0"/>
        <v>11812</v>
      </c>
      <c r="D10" s="243"/>
      <c r="E10" s="244">
        <v>11812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5">
        <f t="shared" si="0"/>
        <v>204298.15</v>
      </c>
      <c r="D11" s="244">
        <v>204298.15</v>
      </c>
      <c r="E11" s="243"/>
      <c r="F11" s="257"/>
      <c r="G11" s="255"/>
      <c r="H11" s="258"/>
    </row>
    <row r="12" spans="1:9" x14ac:dyDescent="0.2">
      <c r="A12" s="32">
        <v>2400</v>
      </c>
      <c r="B12" t="s">
        <v>714</v>
      </c>
      <c r="C12" s="245">
        <f t="shared" si="0"/>
        <v>345395.8</v>
      </c>
      <c r="D12" s="20">
        <f>'DOE25'!L205+'DOE25'!L223+'DOE25'!L241-F12-G12</f>
        <v>342962.72</v>
      </c>
      <c r="E12" s="243"/>
      <c r="F12" s="254">
        <f>'DOE25'!J205+'DOE25'!J223+'DOE25'!J241</f>
        <v>308.08</v>
      </c>
      <c r="G12" s="53">
        <f>'DOE25'!K205+'DOE25'!K223+'DOE25'!K241</f>
        <v>2125</v>
      </c>
      <c r="H12" s="258"/>
    </row>
    <row r="13" spans="1:9" x14ac:dyDescent="0.2">
      <c r="A13" s="32">
        <v>2500</v>
      </c>
      <c r="B13" t="s">
        <v>802</v>
      </c>
      <c r="C13" s="245">
        <f t="shared" si="0"/>
        <v>138942.54999999999</v>
      </c>
      <c r="D13" s="243"/>
      <c r="E13" s="20">
        <f>'DOE25'!L206+'DOE25'!L224+'DOE25'!L242-F13-G13</f>
        <v>125057.10999999999</v>
      </c>
      <c r="F13" s="254">
        <f>'DOE25'!J206+'DOE25'!J224+'DOE25'!J242</f>
        <v>690.88</v>
      </c>
      <c r="G13" s="53">
        <f>'DOE25'!K206+'DOE25'!K224+'DOE25'!K242</f>
        <v>13194.56</v>
      </c>
      <c r="H13" s="258"/>
    </row>
    <row r="14" spans="1:9" x14ac:dyDescent="0.2">
      <c r="A14" s="32">
        <v>2600</v>
      </c>
      <c r="B14" t="s">
        <v>831</v>
      </c>
      <c r="C14" s="245">
        <f t="shared" si="0"/>
        <v>868942.8</v>
      </c>
      <c r="D14" s="20">
        <f>'DOE25'!L207+'DOE25'!L225+'DOE25'!L243-F14-G14</f>
        <v>745435.82000000007</v>
      </c>
      <c r="E14" s="243"/>
      <c r="F14" s="254">
        <f>'DOE25'!J207+'DOE25'!J225+'DOE25'!J243</f>
        <v>43620.7</v>
      </c>
      <c r="G14" s="53">
        <f>'DOE25'!K207+'DOE25'!K225+'DOE25'!K243</f>
        <v>79886.28</v>
      </c>
      <c r="H14" s="258"/>
    </row>
    <row r="15" spans="1:9" x14ac:dyDescent="0.2">
      <c r="A15" s="32">
        <v>2700</v>
      </c>
      <c r="B15" t="s">
        <v>803</v>
      </c>
      <c r="C15" s="245">
        <f t="shared" si="0"/>
        <v>586868.66</v>
      </c>
      <c r="D15" s="20">
        <f>'DOE25'!L208+'DOE25'!L226+'DOE25'!L244-F15-G15</f>
        <v>586868.66</v>
      </c>
      <c r="E15" s="243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5">
        <f>SUM(D22:H22)</f>
        <v>651417.06000000006</v>
      </c>
      <c r="D22" s="243"/>
      <c r="E22" s="243"/>
      <c r="F22" s="254">
        <f>'DOE25'!L255+'DOE25'!L336</f>
        <v>651417.06000000006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5">
        <f>SUM(D25:H25)</f>
        <v>835970</v>
      </c>
      <c r="D25" s="243"/>
      <c r="E25" s="243"/>
      <c r="F25" s="257"/>
      <c r="G25" s="255"/>
      <c r="H25" s="256">
        <f>'DOE25'!L260+'DOE25'!L261+'DOE25'!L341+'DOE25'!L342</f>
        <v>835970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5">
        <f>SUM(D29:H29)</f>
        <v>135545.68999999997</v>
      </c>
      <c r="D29" s="20">
        <f>'DOE25'!L358+'DOE25'!L359+'DOE25'!L360-'DOE25'!I367-F29-G29</f>
        <v>132423.10999999999</v>
      </c>
      <c r="E29" s="243"/>
      <c r="F29" s="254">
        <f>'DOE25'!J358+'DOE25'!J359+'DOE25'!J360</f>
        <v>1289.08</v>
      </c>
      <c r="G29" s="53">
        <f>'DOE25'!K358+'DOE25'!K359+'DOE25'!K360</f>
        <v>1833.5</v>
      </c>
      <c r="H29" s="258"/>
    </row>
    <row r="30" spans="1:8" x14ac:dyDescent="0.2">
      <c r="A30" s="32"/>
      <c r="D30" s="20"/>
      <c r="E30" s="243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5">
        <f>SUM(D31:H31)</f>
        <v>259148.49000000002</v>
      </c>
      <c r="D31" s="20">
        <f>'DOE25'!L290+'DOE25'!L309+'DOE25'!L328+'DOE25'!L333+'DOE25'!L334+'DOE25'!L335-F31-G31</f>
        <v>251266.01</v>
      </c>
      <c r="E31" s="243"/>
      <c r="F31" s="254">
        <f>'DOE25'!J290+'DOE25'!J309+'DOE25'!J328+'DOE25'!J333+'DOE25'!J334+'DOE25'!J335</f>
        <v>3432.48</v>
      </c>
      <c r="G31" s="53">
        <f>'DOE25'!K290+'DOE25'!K309+'DOE25'!K328+'DOE25'!K333+'DOE25'!K334+'DOE25'!K335</f>
        <v>4450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6">
        <f>SUM(D5:D31)</f>
        <v>13054881.310000002</v>
      </c>
      <c r="E33" s="246">
        <f>SUM(E5:E31)</f>
        <v>168120.85999999996</v>
      </c>
      <c r="F33" s="246">
        <f>SUM(F5:F31)</f>
        <v>769498.85</v>
      </c>
      <c r="G33" s="246">
        <f>SUM(G5:G31)</f>
        <v>215903.22</v>
      </c>
      <c r="H33" s="246">
        <f>SUM(H5:H31)</f>
        <v>835970</v>
      </c>
    </row>
    <row r="35" spans="2:8" ht="12" thickBot="1" x14ac:dyDescent="0.25">
      <c r="B35" s="252" t="s">
        <v>846</v>
      </c>
      <c r="D35" s="253">
        <f>E33</f>
        <v>168120.85999999996</v>
      </c>
      <c r="E35" s="248"/>
    </row>
    <row r="36" spans="2:8" ht="12" thickTop="1" x14ac:dyDescent="0.2">
      <c r="B36" t="s">
        <v>814</v>
      </c>
      <c r="D36" s="20">
        <f>D33</f>
        <v>13054881.310000002</v>
      </c>
    </row>
    <row r="38" spans="2:8" x14ac:dyDescent="0.2">
      <c r="B38" s="187" t="s">
        <v>907</v>
      </c>
      <c r="C38" s="265"/>
      <c r="D38" s="266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1022813.11</v>
      </c>
      <c r="D8" s="95">
        <f>'DOE25'!G9</f>
        <v>112</v>
      </c>
      <c r="E8" s="95">
        <f>'DOE25'!H9</f>
        <v>0</v>
      </c>
      <c r="F8" s="95">
        <f>'DOE25'!I9</f>
        <v>0</v>
      </c>
      <c r="G8" s="95">
        <f>'DOE25'!J9</f>
        <v>1113014.94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29824.15</v>
      </c>
      <c r="E9" s="95">
        <f>'DOE25'!H10</f>
        <v>0</v>
      </c>
      <c r="F9" s="95">
        <f>'DOE25'!I10</f>
        <v>503178.2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41927.919999999998</v>
      </c>
      <c r="D11" s="95">
        <f>'DOE25'!G12</f>
        <v>50081.3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293378.46000000002</v>
      </c>
      <c r="D12" s="95">
        <f>'DOE25'!G13</f>
        <v>15612.87</v>
      </c>
      <c r="E12" s="95">
        <f>'DOE25'!H13</f>
        <v>41871.81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1358119.49</v>
      </c>
      <c r="D18" s="41">
        <f>SUM(D8:D17)</f>
        <v>95630.32</v>
      </c>
      <c r="E18" s="41">
        <f>SUM(E8:E17)</f>
        <v>41871.81</v>
      </c>
      <c r="F18" s="41">
        <f>SUM(F8:F17)</f>
        <v>503178.2</v>
      </c>
      <c r="G18" s="41">
        <f>SUM(G8:G17)</f>
        <v>1113014.94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28076.880000000001</v>
      </c>
      <c r="F21" s="95">
        <f>'DOE25'!I22</f>
        <v>221953.54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93429.34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281345.8</v>
      </c>
      <c r="D23" s="95">
        <f>'DOE25'!G24</f>
        <v>1286.8699999999999</v>
      </c>
      <c r="E23" s="95">
        <f>'DOE25'!H24</f>
        <v>2145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243002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255071.8</v>
      </c>
      <c r="D27" s="95">
        <f>'DOE25'!G28</f>
        <v>914.11</v>
      </c>
      <c r="E27" s="95">
        <f>'DOE25'!H28</f>
        <v>11037.78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612.15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536417.6</v>
      </c>
      <c r="D31" s="41">
        <f>SUM(D21:D30)</f>
        <v>95630.319999999992</v>
      </c>
      <c r="E31" s="41">
        <f>SUM(E21:E30)</f>
        <v>41871.810000000005</v>
      </c>
      <c r="F31" s="41">
        <f>SUM(F21:F30)</f>
        <v>464955.54000000004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38222.660000000003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1113014.94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821701.89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821701.89</v>
      </c>
      <c r="D50" s="41">
        <f>SUM(D34:D49)</f>
        <v>0</v>
      </c>
      <c r="E50" s="41">
        <f>SUM(E34:E49)</f>
        <v>0</v>
      </c>
      <c r="F50" s="41">
        <f>SUM(F34:F49)</f>
        <v>38222.660000000003</v>
      </c>
      <c r="G50" s="41">
        <f>SUM(G34:G49)</f>
        <v>1113014.94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1358119.49</v>
      </c>
      <c r="D51" s="41">
        <f>D50+D31</f>
        <v>95630.319999999992</v>
      </c>
      <c r="E51" s="41">
        <f>E50+E31</f>
        <v>41871.810000000005</v>
      </c>
      <c r="F51" s="41">
        <f>F50+F31</f>
        <v>503178.20000000007</v>
      </c>
      <c r="G51" s="41">
        <f>G50+G31</f>
        <v>1113014.94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10490750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68.290000000000006</v>
      </c>
      <c r="E59" s="95">
        <f>'DOE25'!H96</f>
        <v>0</v>
      </c>
      <c r="F59" s="95">
        <f>'DOE25'!I96</f>
        <v>1760.88</v>
      </c>
      <c r="G59" s="95">
        <f>'DOE25'!J96</f>
        <v>3460.77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88530.8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230625.84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230625.84</v>
      </c>
      <c r="D62" s="130">
        <f>SUM(D57:D61)</f>
        <v>88599.09</v>
      </c>
      <c r="E62" s="130">
        <f>SUM(E57:E61)</f>
        <v>0</v>
      </c>
      <c r="F62" s="130">
        <f>SUM(F57:F61)</f>
        <v>1760.88</v>
      </c>
      <c r="G62" s="130">
        <f>SUM(G57:G61)</f>
        <v>3460.77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10721375.84</v>
      </c>
      <c r="D63" s="22">
        <f>D56+D62</f>
        <v>88599.09</v>
      </c>
      <c r="E63" s="22">
        <f>E56+E62</f>
        <v>0</v>
      </c>
      <c r="F63" s="22">
        <f>F56+F62</f>
        <v>1760.88</v>
      </c>
      <c r="G63" s="22">
        <f>G56+G62</f>
        <v>3460.77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3664925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3664925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46222.87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2544.66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46222.87</v>
      </c>
      <c r="D78" s="130">
        <f>SUM(D72:D77)</f>
        <v>2544.66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3711147.87</v>
      </c>
      <c r="D81" s="130">
        <f>SUM(D79:D80)+D78+D70</f>
        <v>2544.66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6781.1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150795.23000000001</v>
      </c>
      <c r="D88" s="95">
        <f>SUM('DOE25'!G153:G161)</f>
        <v>68250.600000000006</v>
      </c>
      <c r="E88" s="95">
        <f>SUM('DOE25'!H153:H161)</f>
        <v>259148.49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150795.23000000001</v>
      </c>
      <c r="D91" s="131">
        <f>SUM(D85:D90)</f>
        <v>75031.700000000012</v>
      </c>
      <c r="E91" s="131">
        <f>SUM(E85:E90)</f>
        <v>259148.49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50081.3</v>
      </c>
      <c r="E96" s="95">
        <f>'DOE25'!H179</f>
        <v>0</v>
      </c>
      <c r="F96" s="95">
        <f>'DOE25'!I179</f>
        <v>0</v>
      </c>
      <c r="G96" s="95">
        <f>'DOE25'!J179</f>
        <v>253352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50081.3</v>
      </c>
      <c r="E103" s="86">
        <f>SUM(E93:E102)</f>
        <v>0</v>
      </c>
      <c r="F103" s="86">
        <f>SUM(F93:F102)</f>
        <v>0</v>
      </c>
      <c r="G103" s="86">
        <f>SUM(G93:G102)</f>
        <v>253352</v>
      </c>
    </row>
    <row r="104" spans="1:7" ht="12.75" thickTop="1" thickBot="1" x14ac:dyDescent="0.25">
      <c r="A104" s="33" t="s">
        <v>764</v>
      </c>
      <c r="C104" s="86">
        <f>C63+C81+C91+C103</f>
        <v>14583318.940000001</v>
      </c>
      <c r="D104" s="86">
        <f>D63+D81+D91+D103</f>
        <v>216256.75</v>
      </c>
      <c r="E104" s="86">
        <f>E63+E81+E91+E103</f>
        <v>259148.49</v>
      </c>
      <c r="F104" s="86">
        <f>F63+F81+F91+F103</f>
        <v>1760.88</v>
      </c>
      <c r="G104" s="86">
        <f>G63+G81+G103</f>
        <v>256812.77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8162381.7299999995</v>
      </c>
      <c r="D109" s="24" t="s">
        <v>288</v>
      </c>
      <c r="E109" s="95">
        <f>('DOE25'!L276)+('DOE25'!L295)+('DOE25'!L314)</f>
        <v>95000.92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1897580.01</v>
      </c>
      <c r="D110" s="24" t="s">
        <v>288</v>
      </c>
      <c r="E110" s="95">
        <f>('DOE25'!L277)+('DOE25'!L296)+('DOE25'!L315)</f>
        <v>4853.6000000000004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81194.199999999983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10141155.939999999</v>
      </c>
      <c r="D115" s="86">
        <f>SUM(D109:D114)</f>
        <v>0</v>
      </c>
      <c r="E115" s="86">
        <f>SUM(E109:E114)</f>
        <v>99854.52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548159.09000000008</v>
      </c>
      <c r="D118" s="24" t="s">
        <v>288</v>
      </c>
      <c r="E118" s="95">
        <f>+('DOE25'!L281)+('DOE25'!L300)+('DOE25'!L319)</f>
        <v>89550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199505.97999999998</v>
      </c>
      <c r="D119" s="24" t="s">
        <v>288</v>
      </c>
      <c r="E119" s="95">
        <f>+('DOE25'!L282)+('DOE25'!L301)+('DOE25'!L320)</f>
        <v>69743.97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321510.18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345395.8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138942.54999999999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868942.8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586868.66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216256.74999999997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3009325.0600000005</v>
      </c>
      <c r="D128" s="86">
        <f>SUM(D118:D127)</f>
        <v>216256.74999999997</v>
      </c>
      <c r="E128" s="86">
        <f>SUM(E118:E127)</f>
        <v>159293.97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651417.06000000006</v>
      </c>
      <c r="D130" s="24" t="s">
        <v>288</v>
      </c>
      <c r="E130" s="129">
        <f>'DOE25'!L336</f>
        <v>0</v>
      </c>
      <c r="F130" s="129">
        <f>SUM('DOE25'!L374:'DOE25'!L380)</f>
        <v>248594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710000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125970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50081.3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144532.79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112279.98000000001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-3460.7700000000186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1790820.36</v>
      </c>
      <c r="D144" s="141">
        <f>SUM(D130:D143)</f>
        <v>0</v>
      </c>
      <c r="E144" s="141">
        <f>SUM(E130:E143)</f>
        <v>0</v>
      </c>
      <c r="F144" s="141">
        <f>SUM(F130:F143)</f>
        <v>248594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14941301.359999999</v>
      </c>
      <c r="D145" s="86">
        <f>(D115+D128+D144)</f>
        <v>216256.74999999997</v>
      </c>
      <c r="E145" s="86">
        <f>(E115+E128+E144)</f>
        <v>259148.49</v>
      </c>
      <c r="F145" s="86">
        <f>(F115+F128+F144)</f>
        <v>248594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 t="str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08/19</v>
      </c>
      <c r="C153" s="152" t="str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3535000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5.0999999999999996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2115000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2115000</v>
      </c>
    </row>
    <row r="157" spans="1:9" x14ac:dyDescent="0.2">
      <c r="A157" s="22" t="s">
        <v>33</v>
      </c>
      <c r="B157" s="137">
        <f>'DOE25'!F496</f>
        <v>125970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125970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2115000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2115000</v>
      </c>
    </row>
    <row r="160" spans="1:9" x14ac:dyDescent="0.2">
      <c r="A160" s="22" t="s">
        <v>36</v>
      </c>
      <c r="B160" s="137">
        <f>'DOE25'!F499</f>
        <v>161797.5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161797.5</v>
      </c>
    </row>
    <row r="161" spans="1:7" x14ac:dyDescent="0.2">
      <c r="A161" s="22" t="s">
        <v>37</v>
      </c>
      <c r="B161" s="137">
        <f>'DOE25'!F500</f>
        <v>2276797.5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2276797.5</v>
      </c>
    </row>
    <row r="162" spans="1:7" x14ac:dyDescent="0.2">
      <c r="A162" s="22" t="s">
        <v>38</v>
      </c>
      <c r="B162" s="137">
        <f>'DOE25'!F501</f>
        <v>705000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705000</v>
      </c>
    </row>
    <row r="163" spans="1:7" x14ac:dyDescent="0.2">
      <c r="A163" s="22" t="s">
        <v>39</v>
      </c>
      <c r="B163" s="137">
        <f>'DOE25'!F502</f>
        <v>89887.5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89887.5</v>
      </c>
    </row>
    <row r="164" spans="1:7" x14ac:dyDescent="0.2">
      <c r="A164" s="22" t="s">
        <v>246</v>
      </c>
      <c r="B164" s="137">
        <f>'DOE25'!F503</f>
        <v>794887.5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794887.5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739</v>
      </c>
      <c r="B1" s="282"/>
      <c r="C1" s="282"/>
      <c r="D1" s="282"/>
    </row>
    <row r="2" spans="1:4" x14ac:dyDescent="0.2">
      <c r="A2" s="187" t="s">
        <v>716</v>
      </c>
      <c r="B2" s="186" t="str">
        <f>'DOE25'!A2</f>
        <v>Alton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18120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18120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8257383</v>
      </c>
      <c r="D10" s="182">
        <f>ROUND((C10/$C$28)*100,1)</f>
        <v>60.4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1902434</v>
      </c>
      <c r="D11" s="182">
        <f>ROUND((C11/$C$28)*100,1)</f>
        <v>13.9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81194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637709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269250</v>
      </c>
      <c r="D16" s="182">
        <f t="shared" si="0"/>
        <v>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321510</v>
      </c>
      <c r="D17" s="182">
        <f t="shared" si="0"/>
        <v>2.4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345396</v>
      </c>
      <c r="D18" s="182">
        <f t="shared" si="0"/>
        <v>2.5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138943</v>
      </c>
      <c r="D19" s="182">
        <f t="shared" si="0"/>
        <v>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868943</v>
      </c>
      <c r="D20" s="182">
        <f t="shared" si="0"/>
        <v>6.4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586869</v>
      </c>
      <c r="D21" s="182">
        <f t="shared" si="0"/>
        <v>4.3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125970</v>
      </c>
      <c r="D25" s="182">
        <f t="shared" si="0"/>
        <v>0.9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127726.2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13663327.199999999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900011</v>
      </c>
    </row>
    <row r="30" spans="1:4" x14ac:dyDescent="0.2">
      <c r="B30" s="187" t="s">
        <v>728</v>
      </c>
      <c r="C30" s="180">
        <f>SUM(C28:C29)</f>
        <v>14563338.199999999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710000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10490750</v>
      </c>
      <c r="D35" s="182">
        <f t="shared" ref="D35:D40" si="1">ROUND((C35/$C$41)*100,1)</f>
        <v>70.3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235915.77999999933</v>
      </c>
      <c r="D36" s="182">
        <f t="shared" si="1"/>
        <v>1.6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3664925</v>
      </c>
      <c r="D37" s="182">
        <f t="shared" si="1"/>
        <v>24.6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48768</v>
      </c>
      <c r="D38" s="182">
        <f t="shared" si="1"/>
        <v>0.3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484975</v>
      </c>
      <c r="D39" s="182">
        <f t="shared" si="1"/>
        <v>3.2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14925333.779999999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769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766</v>
      </c>
      <c r="B2" s="294"/>
      <c r="C2" s="294"/>
      <c r="D2" s="294"/>
      <c r="E2" s="294"/>
      <c r="F2" s="291" t="str">
        <f>'DOE25'!A2</f>
        <v>Alton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89" t="s">
        <v>770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847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2017-08-29T19:47:48Z</cp:lastPrinted>
  <dcterms:created xsi:type="dcterms:W3CDTF">1997-12-04T19:04:30Z</dcterms:created>
  <dcterms:modified xsi:type="dcterms:W3CDTF">2017-11-27T15:44:30Z</dcterms:modified>
</cp:coreProperties>
</file>