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21" i="12" l="1"/>
  <c r="B20" i="12"/>
  <c r="B12" i="12"/>
  <c r="F68" i="1" l="1"/>
  <c r="F50" i="1"/>
  <c r="F23" i="1"/>
  <c r="I604" i="1" l="1"/>
  <c r="F612" i="1"/>
  <c r="G612" i="1"/>
  <c r="I612" i="1"/>
  <c r="F526" i="1"/>
  <c r="H522" i="1"/>
  <c r="F502" i="1"/>
  <c r="G502" i="1"/>
  <c r="G499" i="1"/>
  <c r="G498" i="1"/>
  <c r="F499" i="1"/>
  <c r="F498" i="1"/>
  <c r="H439" i="1"/>
  <c r="G221" i="1"/>
  <c r="G203" i="1"/>
  <c r="G282" i="1"/>
  <c r="J472" i="1"/>
  <c r="I472" i="1"/>
  <c r="H472" i="1"/>
  <c r="G472" i="1"/>
  <c r="J468" i="1"/>
  <c r="G468" i="1"/>
  <c r="H468" i="1"/>
  <c r="I468" i="1"/>
  <c r="H451" i="1"/>
  <c r="G442" i="1"/>
  <c r="G459" i="1"/>
  <c r="G429" i="1"/>
  <c r="H301" i="1"/>
  <c r="H282" i="1"/>
  <c r="H281" i="1"/>
  <c r="G301" i="1"/>
  <c r="F301" i="1"/>
  <c r="F282" i="1"/>
  <c r="I48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E131" i="2" s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56" i="2" s="1"/>
  <c r="F79" i="1"/>
  <c r="C57" i="2" s="1"/>
  <c r="F94" i="1"/>
  <c r="C58" i="2" s="1"/>
  <c r="F111" i="1"/>
  <c r="G111" i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G162" i="1"/>
  <c r="H147" i="1"/>
  <c r="E85" i="2" s="1"/>
  <c r="H162" i="1"/>
  <c r="I147" i="1"/>
  <c r="F85" i="2" s="1"/>
  <c r="I162" i="1"/>
  <c r="L250" i="1"/>
  <c r="C113" i="2" s="1"/>
  <c r="L332" i="1"/>
  <c r="L254" i="1"/>
  <c r="L268" i="1"/>
  <c r="C142" i="2" s="1"/>
  <c r="L269" i="1"/>
  <c r="C143" i="2" s="1"/>
  <c r="L349" i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L526" i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E132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2" i="2"/>
  <c r="E113" i="2"/>
  <c r="D115" i="2"/>
  <c r="F115" i="2"/>
  <c r="G115" i="2"/>
  <c r="E124" i="2"/>
  <c r="F128" i="2"/>
  <c r="G128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G408" i="1" s="1"/>
  <c r="H645" i="1" s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F460" i="1"/>
  <c r="G460" i="1"/>
  <c r="G461" i="1" s="1"/>
  <c r="H640" i="1" s="1"/>
  <c r="H460" i="1"/>
  <c r="G470" i="1"/>
  <c r="H470" i="1"/>
  <c r="I470" i="1"/>
  <c r="J470" i="1"/>
  <c r="G474" i="1"/>
  <c r="H474" i="1"/>
  <c r="H476" i="1" s="1"/>
  <c r="H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8" i="1"/>
  <c r="H629" i="1"/>
  <c r="H630" i="1"/>
  <c r="H631" i="1"/>
  <c r="H633" i="1"/>
  <c r="H635" i="1"/>
  <c r="H636" i="1"/>
  <c r="H637" i="1"/>
  <c r="H638" i="1"/>
  <c r="G643" i="1"/>
  <c r="G644" i="1"/>
  <c r="G651" i="1"/>
  <c r="G652" i="1"/>
  <c r="H652" i="1"/>
  <c r="G653" i="1"/>
  <c r="H653" i="1"/>
  <c r="G654" i="1"/>
  <c r="H654" i="1"/>
  <c r="H655" i="1"/>
  <c r="E78" i="2"/>
  <c r="J140" i="1"/>
  <c r="G36" i="2"/>
  <c r="F461" i="1" l="1"/>
  <c r="H639" i="1" s="1"/>
  <c r="I452" i="1"/>
  <c r="I446" i="1"/>
  <c r="G642" i="1" s="1"/>
  <c r="D81" i="2"/>
  <c r="F408" i="1"/>
  <c r="H643" i="1" s="1"/>
  <c r="A13" i="12"/>
  <c r="F130" i="2"/>
  <c r="F144" i="2" s="1"/>
  <c r="F145" i="2" s="1"/>
  <c r="K338" i="1"/>
  <c r="K352" i="1" s="1"/>
  <c r="E120" i="2"/>
  <c r="E109" i="2"/>
  <c r="K550" i="1"/>
  <c r="D127" i="2"/>
  <c r="D128" i="2" s="1"/>
  <c r="D145" i="2" s="1"/>
  <c r="G545" i="1"/>
  <c r="I408" i="1"/>
  <c r="H408" i="1"/>
  <c r="H644" i="1" s="1"/>
  <c r="J644" i="1" s="1"/>
  <c r="F192" i="1"/>
  <c r="H662" i="1"/>
  <c r="D91" i="2"/>
  <c r="H192" i="1"/>
  <c r="J545" i="1"/>
  <c r="C78" i="2"/>
  <c r="C10" i="10"/>
  <c r="J476" i="1"/>
  <c r="H626" i="1" s="1"/>
  <c r="F571" i="1"/>
  <c r="H545" i="1"/>
  <c r="J636" i="1"/>
  <c r="E103" i="2"/>
  <c r="H140" i="1"/>
  <c r="L309" i="1"/>
  <c r="E123" i="2"/>
  <c r="E119" i="2"/>
  <c r="E110" i="2"/>
  <c r="I369" i="1"/>
  <c r="H634" i="1" s="1"/>
  <c r="J634" i="1" s="1"/>
  <c r="G662" i="1"/>
  <c r="C121" i="2"/>
  <c r="C109" i="2"/>
  <c r="C19" i="10"/>
  <c r="I257" i="1"/>
  <c r="I271" i="1" s="1"/>
  <c r="L570" i="1"/>
  <c r="K545" i="1"/>
  <c r="G476" i="1"/>
  <c r="H623" i="1" s="1"/>
  <c r="J623" i="1" s="1"/>
  <c r="L433" i="1"/>
  <c r="L434" i="1" s="1"/>
  <c r="G638" i="1" s="1"/>
  <c r="J638" i="1" s="1"/>
  <c r="L427" i="1"/>
  <c r="G192" i="1"/>
  <c r="C25" i="10"/>
  <c r="E114" i="2"/>
  <c r="E122" i="2"/>
  <c r="E118" i="2"/>
  <c r="C122" i="2"/>
  <c r="J639" i="1"/>
  <c r="I169" i="1"/>
  <c r="G257" i="1"/>
  <c r="G271" i="1" s="1"/>
  <c r="G112" i="1"/>
  <c r="D19" i="13"/>
  <c r="C19" i="13" s="1"/>
  <c r="D17" i="13"/>
  <c r="C17" i="13" s="1"/>
  <c r="D14" i="13"/>
  <c r="C14" i="13" s="1"/>
  <c r="C16" i="10"/>
  <c r="C125" i="2"/>
  <c r="H112" i="1"/>
  <c r="G650" i="1"/>
  <c r="J650" i="1" s="1"/>
  <c r="H338" i="1"/>
  <c r="H352" i="1" s="1"/>
  <c r="L256" i="1"/>
  <c r="J257" i="1"/>
  <c r="J271" i="1" s="1"/>
  <c r="F257" i="1"/>
  <c r="F271" i="1" s="1"/>
  <c r="H257" i="1"/>
  <c r="H271" i="1" s="1"/>
  <c r="G645" i="1"/>
  <c r="J645" i="1" s="1"/>
  <c r="G62" i="2"/>
  <c r="D62" i="2"/>
  <c r="D63" i="2" s="1"/>
  <c r="F18" i="2"/>
  <c r="H52" i="1"/>
  <c r="H619" i="1" s="1"/>
  <c r="D18" i="2"/>
  <c r="J617" i="1"/>
  <c r="L419" i="1"/>
  <c r="J624" i="1"/>
  <c r="K605" i="1"/>
  <c r="G648" i="1" s="1"/>
  <c r="K598" i="1"/>
  <c r="G647" i="1" s="1"/>
  <c r="K571" i="1"/>
  <c r="L560" i="1"/>
  <c r="I460" i="1"/>
  <c r="D50" i="2"/>
  <c r="C15" i="10"/>
  <c r="L328" i="1"/>
  <c r="C110" i="2"/>
  <c r="E13" i="13"/>
  <c r="C13" i="13" s="1"/>
  <c r="C120" i="2"/>
  <c r="J655" i="1"/>
  <c r="H461" i="1"/>
  <c r="H641" i="1" s="1"/>
  <c r="G338" i="1"/>
  <c r="G352" i="1" s="1"/>
  <c r="J643" i="1"/>
  <c r="K500" i="1"/>
  <c r="I476" i="1"/>
  <c r="H625" i="1" s="1"/>
  <c r="J640" i="1"/>
  <c r="F338" i="1"/>
  <c r="F352" i="1" s="1"/>
  <c r="G164" i="2"/>
  <c r="G161" i="2"/>
  <c r="G156" i="2"/>
  <c r="C114" i="2"/>
  <c r="G81" i="2"/>
  <c r="F78" i="2"/>
  <c r="F661" i="1"/>
  <c r="C26" i="10"/>
  <c r="L565" i="1"/>
  <c r="H571" i="1"/>
  <c r="I545" i="1"/>
  <c r="K503" i="1"/>
  <c r="D31" i="2"/>
  <c r="E31" i="2"/>
  <c r="J641" i="1"/>
  <c r="C85" i="2"/>
  <c r="C91" i="2" s="1"/>
  <c r="F169" i="1"/>
  <c r="L393" i="1"/>
  <c r="C138" i="2" s="1"/>
  <c r="C130" i="2"/>
  <c r="C29" i="10"/>
  <c r="E121" i="2"/>
  <c r="C18" i="10"/>
  <c r="I571" i="1"/>
  <c r="D5" i="13"/>
  <c r="C5" i="13" s="1"/>
  <c r="F22" i="13"/>
  <c r="C22" i="13" s="1"/>
  <c r="H169" i="1"/>
  <c r="E8" i="13"/>
  <c r="C8" i="13" s="1"/>
  <c r="D12" i="13"/>
  <c r="C12" i="13" s="1"/>
  <c r="L539" i="1"/>
  <c r="K257" i="1"/>
  <c r="K271" i="1" s="1"/>
  <c r="C119" i="2"/>
  <c r="G661" i="1"/>
  <c r="C20" i="10"/>
  <c r="C11" i="10"/>
  <c r="F112" i="1"/>
  <c r="C56" i="2"/>
  <c r="C35" i="10"/>
  <c r="A40" i="12"/>
  <c r="L362" i="1"/>
  <c r="G635" i="1" s="1"/>
  <c r="J635" i="1" s="1"/>
  <c r="H661" i="1"/>
  <c r="D18" i="13"/>
  <c r="C18" i="13" s="1"/>
  <c r="C21" i="10"/>
  <c r="H647" i="1"/>
  <c r="F662" i="1"/>
  <c r="I662" i="1" s="1"/>
  <c r="C124" i="2"/>
  <c r="G649" i="1"/>
  <c r="J649" i="1" s="1"/>
  <c r="D15" i="13"/>
  <c r="C15" i="13" s="1"/>
  <c r="D6" i="13"/>
  <c r="C6" i="13" s="1"/>
  <c r="C118" i="2"/>
  <c r="C12" i="10"/>
  <c r="C111" i="2"/>
  <c r="C131" i="2"/>
  <c r="H25" i="13"/>
  <c r="E125" i="2"/>
  <c r="E112" i="2"/>
  <c r="C13" i="10"/>
  <c r="L247" i="1"/>
  <c r="D7" i="13"/>
  <c r="C7" i="13" s="1"/>
  <c r="L290" i="1"/>
  <c r="J571" i="1"/>
  <c r="G549" i="1"/>
  <c r="L529" i="1"/>
  <c r="L211" i="1"/>
  <c r="L401" i="1"/>
  <c r="C139" i="2" s="1"/>
  <c r="L351" i="1"/>
  <c r="L229" i="1"/>
  <c r="E16" i="13"/>
  <c r="C17" i="10"/>
  <c r="D29" i="13"/>
  <c r="C29" i="13" s="1"/>
  <c r="J651" i="1"/>
  <c r="L534" i="1"/>
  <c r="I52" i="1"/>
  <c r="H620" i="1" s="1"/>
  <c r="J620" i="1" s="1"/>
  <c r="G625" i="1"/>
  <c r="G157" i="2"/>
  <c r="C123" i="2"/>
  <c r="F81" i="2"/>
  <c r="C70" i="2"/>
  <c r="C81" i="2" s="1"/>
  <c r="C62" i="2"/>
  <c r="E62" i="2"/>
  <c r="E63" i="2" s="1"/>
  <c r="C18" i="2"/>
  <c r="L270" i="1"/>
  <c r="J551" i="1"/>
  <c r="J552" i="1" s="1"/>
  <c r="L544" i="1"/>
  <c r="I552" i="1"/>
  <c r="H552" i="1"/>
  <c r="F551" i="1"/>
  <c r="K551" i="1" s="1"/>
  <c r="L524" i="1"/>
  <c r="C32" i="10"/>
  <c r="J338" i="1"/>
  <c r="J352" i="1" s="1"/>
  <c r="E81" i="2"/>
  <c r="L61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L407" i="1"/>
  <c r="C140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G169" i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J619" i="1"/>
  <c r="D103" i="2"/>
  <c r="I140" i="1"/>
  <c r="A22" i="12"/>
  <c r="J652" i="1"/>
  <c r="G571" i="1"/>
  <c r="I434" i="1"/>
  <c r="G434" i="1"/>
  <c r="I663" i="1"/>
  <c r="I461" i="1" l="1"/>
  <c r="H642" i="1" s="1"/>
  <c r="J642" i="1" s="1"/>
  <c r="H193" i="1"/>
  <c r="G629" i="1" s="1"/>
  <c r="J629" i="1" s="1"/>
  <c r="J647" i="1"/>
  <c r="G660" i="1"/>
  <c r="G664" i="1" s="1"/>
  <c r="G667" i="1" s="1"/>
  <c r="E115" i="2"/>
  <c r="D31" i="13"/>
  <c r="C31" i="13" s="1"/>
  <c r="C27" i="10"/>
  <c r="C28" i="10" s="1"/>
  <c r="D22" i="10" s="1"/>
  <c r="L338" i="1"/>
  <c r="L352" i="1" s="1"/>
  <c r="G633" i="1" s="1"/>
  <c r="J633" i="1" s="1"/>
  <c r="H660" i="1"/>
  <c r="H664" i="1" s="1"/>
  <c r="H672" i="1" s="1"/>
  <c r="C6" i="10" s="1"/>
  <c r="L571" i="1"/>
  <c r="C141" i="2"/>
  <c r="C144" i="2" s="1"/>
  <c r="J625" i="1"/>
  <c r="G104" i="2"/>
  <c r="D104" i="2"/>
  <c r="F33" i="13"/>
  <c r="E128" i="2"/>
  <c r="E145" i="2" s="1"/>
  <c r="C39" i="10"/>
  <c r="F51" i="2"/>
  <c r="D51" i="2"/>
  <c r="L257" i="1"/>
  <c r="L271" i="1" s="1"/>
  <c r="I661" i="1"/>
  <c r="I193" i="1"/>
  <c r="G630" i="1" s="1"/>
  <c r="J630" i="1" s="1"/>
  <c r="G51" i="2"/>
  <c r="E104" i="2"/>
  <c r="C63" i="2"/>
  <c r="C104" i="2" s="1"/>
  <c r="C115" i="2"/>
  <c r="C36" i="10"/>
  <c r="F104" i="2"/>
  <c r="H648" i="1"/>
  <c r="J648" i="1" s="1"/>
  <c r="F193" i="1"/>
  <c r="L408" i="1"/>
  <c r="L545" i="1"/>
  <c r="E33" i="13"/>
  <c r="D35" i="13" s="1"/>
  <c r="C16" i="13"/>
  <c r="F660" i="1"/>
  <c r="C128" i="2"/>
  <c r="G552" i="1"/>
  <c r="K549" i="1"/>
  <c r="K552" i="1" s="1"/>
  <c r="C25" i="13"/>
  <c r="H33" i="13"/>
  <c r="F552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27" i="1" l="1"/>
  <c r="F468" i="1"/>
  <c r="G632" i="1"/>
  <c r="F472" i="1"/>
  <c r="D33" i="13"/>
  <c r="D36" i="13" s="1"/>
  <c r="H667" i="1"/>
  <c r="G672" i="1"/>
  <c r="C5" i="10" s="1"/>
  <c r="D27" i="10"/>
  <c r="D18" i="10"/>
  <c r="D26" i="10"/>
  <c r="D21" i="10"/>
  <c r="D10" i="10"/>
  <c r="D17" i="10"/>
  <c r="D13" i="10"/>
  <c r="C30" i="10"/>
  <c r="D11" i="10"/>
  <c r="D12" i="10"/>
  <c r="D16" i="10"/>
  <c r="D20" i="10"/>
  <c r="D15" i="10"/>
  <c r="D25" i="10"/>
  <c r="D24" i="10"/>
  <c r="C145" i="2"/>
  <c r="D23" i="10"/>
  <c r="D19" i="10"/>
  <c r="G637" i="1"/>
  <c r="J637" i="1" s="1"/>
  <c r="H646" i="1"/>
  <c r="J646" i="1" s="1"/>
  <c r="F664" i="1"/>
  <c r="I660" i="1"/>
  <c r="I664" i="1" s="1"/>
  <c r="I672" i="1" s="1"/>
  <c r="C7" i="10" s="1"/>
  <c r="C41" i="10"/>
  <c r="D38" i="10" s="1"/>
  <c r="F470" i="1" l="1"/>
  <c r="H627" i="1"/>
  <c r="J627" i="1"/>
  <c r="H632" i="1"/>
  <c r="J632" i="1" s="1"/>
  <c r="F474" i="1"/>
  <c r="F476" i="1" s="1"/>
  <c r="H622" i="1" s="1"/>
  <c r="J622" i="1" s="1"/>
  <c r="D28" i="10"/>
  <c r="I667" i="1"/>
  <c r="F672" i="1"/>
  <c r="C4" i="10" s="1"/>
  <c r="F667" i="1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<sst xmlns="http://schemas.openxmlformats.org/spreadsheetml/2006/main" count="3961" uniqueCount="918">
  <si>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</si>
  <si>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</si>
  <si>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</si>
  <si>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</si>
  <si>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</si>
  <si>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</si>
  <si>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</si>
  <si>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</si>
  <si>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</si>
  <si>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</si>
  <si>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</si>
  <si>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</si>
  <si>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</si>
  <si>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</si>
  <si>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</si>
  <si>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</si>
  <si>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</si>
  <si>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</si>
  <si>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</si>
  <si>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</si>
  <si>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</si>
  <si>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</si>
  <si>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</si>
  <si>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</si>
  <si>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</si>
  <si>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</si>
  <si>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</si>
  <si>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</si>
  <si>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</si>
  <si>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</si>
  <si>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</si>
  <si>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</si>
  <si>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</si>
  <si>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</si>
  <si>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</si>
  <si>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</si>
  <si>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</si>
  <si>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</si>
  <si>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</si>
  <si>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</si>
  <si>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</si>
  <si>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</si>
  <si>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</si>
  <si>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</si>
  <si>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</si>
  <si>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</si>
  <si>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</si>
  <si>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</si>
  <si>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</si>
  <si>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</si>
  <si>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</si>
  <si>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</si>
  <si>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</si>
  <si>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</si>
  <si>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</si>
  <si>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</si>
  <si>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</si>
  <si>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</si>
  <si>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</si>
  <si>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</si>
  <si>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</si>
  <si>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</si>
  <si>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</si>
  <si>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</si>
  <si>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</si>
  <si>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</si>
  <si>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</si>
  <si>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</si>
  <si>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</si>
  <si>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</si>
  <si>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</si>
  <si>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</si>
  <si>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</si>
  <si>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</si>
  <si>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</si>
  <si>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</si>
  <si>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</si>
  <si>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</si>
  <si>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</si>
  <si>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</si>
  <si>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</si>
  <si>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</si>
  <si>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</si>
  <si>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</si>
  <si>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</si>
  <si>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</si>
  <si>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</si>
  <si>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</si>
  <si>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</si>
  <si>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</si>
  <si>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</si>
  <si>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</si>
  <si>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</si>
  <si>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</si>
  <si>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</si>
  <si>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</si>
  <si>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</si>
  <si>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</si>
  <si>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</si>
  <si>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</si>
  <si>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</si>
  <si>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</si>
  <si>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</si>
  <si>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</si>
  <si>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</si>
  <si>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</si>
  <si>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</si>
  <si>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</si>
  <si>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</si>
  <si>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</si>
  <si>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</si>
  <si>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</si>
  <si>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</si>
  <si>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</si>
  <si>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</si>
  <si>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</si>
  <si>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</si>
  <si>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</si>
  <si>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</si>
  <si>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</si>
  <si>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</si>
  <si>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</si>
  <si>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</si>
  <si>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</si>
  <si>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</si>
  <si>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</si>
  <si>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</si>
  <si>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</si>
  <si>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</si>
  <si>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</si>
  <si>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</si>
  <si>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</si>
  <si>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</si>
  <si>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</si>
  <si>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</si>
  <si>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</si>
  <si>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</si>
  <si>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</si>
  <si>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</si>
  <si>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</si>
  <si>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</si>
  <si>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</si>
  <si>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</si>
  <si>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</si>
  <si>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</si>
  <si>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</si>
  <si>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</si>
  <si>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</si>
  <si>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</si>
  <si>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</si>
  <si>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</si>
  <si>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</si>
  <si>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</si>
  <si>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</si>
  <si>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</si>
  <si>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</si>
  <si>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</si>
  <si>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</si>
  <si>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</si>
  <si>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</si>
  <si>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</si>
  <si>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</si>
  <si>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</si>
  <si>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</si>
  <si>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</si>
  <si>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</si>
  <si>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</si>
  <si>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</si>
  <si>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</si>
  <si>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</si>
  <si>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</si>
  <si>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</si>
  <si>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</si>
  <si>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</si>
  <si>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</si>
  <si>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</si>
  <si>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</si>
  <si>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</si>
  <si>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</si>
  <si>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</si>
  <si>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</si>
  <si>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</si>
  <si>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</si>
  <si>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</si>
  <si>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</si>
  <si>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</si>
  <si>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</si>
  <si>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</si>
  <si>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</si>
  <si>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</si>
  <si>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</si>
  <si>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</si>
  <si>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</si>
  <si>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</si>
  <si>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</si>
  <si>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</si>
  <si>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</si>
  <si>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</si>
  <si>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</si>
  <si>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</si>
  <si>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</si>
  <si>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</si>
  <si>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</si>
  <si>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</si>
  <si>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</si>
  <si>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</si>
  <si>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</si>
  <si>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</si>
  <si>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</si>
  <si>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</si>
  <si>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</si>
  <si>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</si>
  <si>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</si>
  <si>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</si>
  <si>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</si>
  <si>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</si>
  <si>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</si>
  <si>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</si>
  <si>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</si>
  <si>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</si>
  <si>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</si>
  <si>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</si>
  <si>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</si>
  <si>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</si>
  <si>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</si>
  <si>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</si>
  <si>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</si>
  <si>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</si>
  <si>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</si>
  <si>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</si>
  <si>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</si>
  <si>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</si>
  <si>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</si>
  <si>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</si>
  <si>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</si>
  <si>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</si>
  <si>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</si>
  <si>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</si>
  <si>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</si>
  <si>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</si>
  <si>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</si>
  <si>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</si>
  <si>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</si>
  <si>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</si>
  <si>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</si>
  <si>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</si>
  <si>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</si>
  <si>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</si>
  <si>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</si>
  <si>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</si>
  <si>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</si>
  <si>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</si>
  <si>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</si>
  <si>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</si>
  <si>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</si>
  <si>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</si>
  <si>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</si>
  <si>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</si>
  <si>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</si>
  <si>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</si>
  <si>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</si>
  <si>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</si>
  <si>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</si>
  <si>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</si>
  <si>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</si>
  <si>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</si>
  <si>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</si>
  <si>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</si>
  <si>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</si>
  <si>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</si>
  <si>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</si>
  <si>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</si>
  <si>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</si>
  <si>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</si>
  <si>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</si>
  <si>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</si>
  <si>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</si>
  <si>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</si>
  <si>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</si>
  <si>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</si>
  <si>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</si>
  <si>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</si>
  <si>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</si>
  <si>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</si>
  <si>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</si>
  <si>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</si>
  <si>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</si>
  <si>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</si>
  <si>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</si>
  <si>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</si>
  <si>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</si>
  <si>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</si>
  <si>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</si>
  <si>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</si>
  <si>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</si>
  <si>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</si>
  <si>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</si>
  <si>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</si>
  <si>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</si>
  <si>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</si>
  <si>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</si>
  <si>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</si>
  <si>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</si>
  <si>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</si>
  <si>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</si>
  <si>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</si>
  <si>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</si>
  <si>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</si>
  <si>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</si>
  <si>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</si>
  <si>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</si>
  <si>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</si>
  <si>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</si>
  <si>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</si>
  <si>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</si>
  <si>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</si>
  <si>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</si>
  <si>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</si>
  <si>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</si>
  <si>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</si>
  <si>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</si>
  <si>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</si>
  <si>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</si>
  <si>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</si>
  <si>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</si>
  <si>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</si>
  <si>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</si>
  <si>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</si>
  <si>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</si>
  <si>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</si>
  <si>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</si>
  <si>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</si>
  <si>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</si>
  <si>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</si>
  <si>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</si>
  <si>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</si>
  <si>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</si>
  <si>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</si>
  <si>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</si>
  <si>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</si>
  <si>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</si>
  <si>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</si>
  <si>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</si>
  <si>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</si>
  <si>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</si>
  <si>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</si>
  <si>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</si>
  <si>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</si>
  <si>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</si>
  <si>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</si>
  <si>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</si>
  <si>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</si>
  <si>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</si>
  <si>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</si>
  <si>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</si>
  <si>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</si>
  <si>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</si>
  <si>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</si>
  <si>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</si>
  <si>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</si>
  <si>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</si>
  <si>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</si>
  <si>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</si>
  <si>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</si>
  <si>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</si>
  <si>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</si>
  <si>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</si>
  <si>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</si>
  <si>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</si>
  <si>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</si>
  <si>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</si>
  <si>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</si>
  <si>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</si>
  <si>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</si>
  <si>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</si>
  <si>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</si>
  <si>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</si>
  <si>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</si>
  <si>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</si>
  <si>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</si>
  <si>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</si>
  <si>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</si>
  <si>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</si>
  <si>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</si>
  <si>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</si>
  <si>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</si>
  <si>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</si>
  <si>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</si>
  <si>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</si>
  <si>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</si>
  <si>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</si>
  <si>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</si>
  <si>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</si>
  <si>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</si>
  <si>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</si>
  <si>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</si>
  <si>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</si>
  <si>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</si>
  <si>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</si>
  <si>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</si>
  <si>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</si>
  <si>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</si>
  <si>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</si>
  <si>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</si>
  <si>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</si>
  <si>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</si>
  <si>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</si>
  <si>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</si>
  <si>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</si>
  <si>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</si>
  <si>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</si>
  <si>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</si>
  <si>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</si>
  <si>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</si>
  <si>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</si>
  <si>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</si>
  <si>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</si>
  <si>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</si>
  <si>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</si>
  <si>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</si>
  <si>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</si>
  <si>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</si>
  <si>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</si>
  <si>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</si>
  <si>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</si>
  <si>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</si>
  <si>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</si>
  <si>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</si>
  <si>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</si>
  <si>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</si>
  <si>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</si>
  <si>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</si>
  <si>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</si>
  <si>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</si>
  <si>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</si>
  <si>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</si>
  <si>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</si>
  <si>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</si>
  <si>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</si>
  <si>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</si>
  <si>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</si>
  <si>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</si>
  <si>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</si>
  <si>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</si>
  <si>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</si>
  <si>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</si>
  <si>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</si>
  <si>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</si>
  <si>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</si>
  <si>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</si>
  <si>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</si>
  <si>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</si>
  <si>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</si>
  <si>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</si>
  <si>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</si>
  <si>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</si>
  <si>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</si>
  <si>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</si>
  <si>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</si>
  <si>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</si>
  <si>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</si>
  <si>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</si>
  <si>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</si>
  <si>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</si>
  <si>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</si>
  <si>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</si>
  <si>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</si>
  <si>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</si>
  <si>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</si>
  <si>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</si>
  <si>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</si>
  <si>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</si>
  <si>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</si>
  <si>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</si>
  <si>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</si>
  <si>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</si>
  <si>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</si>
  <si>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</si>
  <si>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</si>
  <si>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</si>
  <si>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</si>
  <si>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</si>
  <si>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</si>
  <si>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</si>
  <si>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</si>
  <si>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</si>
  <si>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</si>
  <si>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</si>
  <si>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</si>
  <si>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</si>
  <si>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</si>
  <si>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</si>
  <si>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</si>
  <si>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</si>
  <si>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</si>
  <si>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</si>
  <si>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</si>
  <si>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</si>
  <si>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</si>
  <si>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</si>
  <si>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</si>
  <si>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</si>
  <si>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</si>
  <si>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</si>
  <si>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</si>
  <si>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</si>
  <si>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</si>
  <si>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</si>
  <si>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</si>
  <si>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</si>
  <si>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</si>
  <si>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</si>
  <si>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</si>
  <si>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</si>
  <si>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</si>
  <si>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</si>
  <si>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</si>
  <si>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</si>
  <si>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</si>
  <si>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</si>
  <si>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</si>
  <si>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</si>
  <si>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</si>
  <si>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</si>
  <si>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</si>
  <si>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</si>
  <si>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</si>
  <si>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</si>
  <si>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</si>
  <si>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</si>
  <si>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</si>
  <si>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</si>
  <si>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</si>
  <si>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</si>
  <si>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</si>
  <si>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</si>
  <si>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</si>
  <si>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</si>
  <si>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</si>
  <si>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</si>
  <si>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</si>
  <si>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</si>
  <si>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</si>
  <si>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</si>
  <si>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</si>
  <si>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</si>
  <si>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</si>
  <si>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</si>
  <si>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</si>
  <si>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</si>
  <si>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</si>
  <si>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</si>
  <si>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</si>
  <si>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</si>
  <si>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</si>
  <si>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</si>
  <si>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</si>
  <si>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</si>
  <si>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</si>
  <si>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</si>
  <si>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</si>
  <si>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</si>
  <si>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</si>
  <si>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</si>
  <si>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</si>
  <si>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</si>
  <si>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</si>
  <si>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</si>
  <si>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</si>
  <si>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</si>
  <si>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</si>
  <si>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</si>
  <si>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</si>
  <si>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</si>
  <si>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</si>
  <si>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</si>
  <si>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</si>
  <si>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</si>
  <si>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</si>
  <si>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</si>
  <si>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</si>
  <si>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</si>
  <si>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</si>
  <si>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</si>
  <si>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</si>
  <si>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</si>
  <si>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</si>
  <si>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</si>
  <si>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</si>
  <si>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</si>
  <si>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</si>
  <si>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</si>
  <si>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</si>
  <si>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</si>
  <si>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</si>
  <si>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</si>
  <si>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</si>
  <si>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</si>
  <si>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</si>
  <si>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</si>
  <si>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</si>
  <si>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</si>
  <si>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</si>
  <si>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</si>
  <si>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</si>
  <si>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</si>
  <si>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</si>
  <si>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</si>
  <si>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</si>
  <si>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</si>
  <si>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</si>
  <si>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</si>
  <si>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</si>
  <si>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</si>
  <si>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</si>
  <si>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</si>
  <si>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</si>
  <si>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</si>
  <si>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</si>
  <si>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</si>
  <si>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</si>
  <si>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</si>
  <si>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</si>
  <si>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</si>
  <si>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</si>
  <si>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</si>
  <si>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</si>
  <si>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</si>
  <si>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</si>
  <si>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</si>
  <si>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</si>
  <si>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</si>
  <si>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</si>
  <si>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</si>
  <si>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</si>
  <si>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</si>
  <si>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</si>
  <si>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</si>
  <si>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</si>
  <si>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</si>
  <si>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</si>
  <si>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</si>
  <si>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</si>
  <si>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</si>
  <si>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</si>
  <si>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</si>
  <si>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</si>
  <si>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</si>
  <si>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</si>
  <si>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</si>
  <si>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</si>
  <si>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</si>
  <si>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</si>
  <si>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</si>
  <si>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</si>
  <si>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</si>
  <si>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</si>
  <si>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</si>
  <si>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</si>
  <si>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</si>
  <si>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</si>
  <si>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</si>
  <si>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</si>
  <si>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</si>
  <si>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</si>
  <si>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</si>
  <si>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</si>
  <si>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</si>
  <si>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</si>
  <si>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</si>
  <si>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</si>
  <si>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</si>
  <si>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</si>
  <si>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</si>
  <si>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</si>
  <si>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</si>
  <si>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</si>
  <si>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</si>
  <si>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</si>
  <si>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</si>
  <si>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</si>
  <si>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</si>
  <si>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</si>
  <si>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</si>
  <si>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</si>
  <si>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</si>
  <si>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</si>
  <si>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</si>
  <si>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</si>
  <si>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</si>
  <si>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</si>
  <si>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</si>
  <si>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</si>
  <si>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</si>
  <si>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</si>
  <si>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</si>
  <si>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</si>
  <si>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</si>
  <si>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</si>
  <si>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</si>
  <si>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</si>
  <si>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</si>
  <si>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</si>
  <si>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</si>
  <si>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</si>
  <si>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</si>
  <si>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</si>
  <si>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</si>
  <si>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</si>
  <si>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</si>
  <si>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</si>
  <si>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</si>
  <si>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</si>
  <si>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</si>
  <si>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</si>
  <si>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</si>
  <si>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</si>
  <si>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</si>
  <si>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</si>
  <si>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</si>
  <si>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</si>
  <si>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</si>
  <si>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</si>
  <si>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</si>
  <si>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</si>
  <si>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</si>
  <si>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</si>
  <si>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</si>
  <si>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</si>
  <si>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</si>
  <si>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</si>
  <si>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</si>
  <si>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</si>
  <si>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</si>
  <si>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</si>
  <si>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</si>
  <si>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</si>
  <si>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</si>
  <si>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</si>
  <si>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</si>
  <si>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</si>
  <si>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</si>
  <si>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</si>
  <si>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</si>
  <si>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</si>
  <si>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</si>
  <si>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</si>
  <si>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</si>
  <si>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</si>
  <si>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</si>
  <si>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</si>
  <si>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</si>
  <si>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</si>
  <si>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</si>
  <si>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</si>
  <si>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</si>
  <si>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</si>
  <si>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</si>
  <si>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</si>
  <si>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</si>
  <si>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</si>
  <si>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</si>
  <si>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</si>
  <si>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</si>
  <si>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</si>
  <si>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</si>
  <si>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</si>
  <si>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</si>
  <si>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</si>
  <si>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</si>
  <si>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</si>
  <si>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</si>
  <si>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</si>
  <si>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</si>
  <si>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</si>
  <si>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</si>
  <si>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</si>
  <si>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</si>
  <si>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</si>
  <si>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</si>
  <si>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</si>
  <si>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</si>
  <si>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</si>
  <si>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</si>
  <si>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</si>
  <si>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</si>
  <si>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</si>
  <si>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</si>
  <si>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</si>
  <si>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</si>
  <si>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</si>
  <si>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</si>
  <si>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</si>
  <si>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</si>
  <si>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</si>
  <si>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</si>
  <si>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</si>
  <si>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</si>
  <si>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</si>
  <si>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</si>
  <si>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</si>
  <si>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</si>
  <si>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</si>
  <si>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</si>
  <si>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</si>
  <si>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</si>
  <si>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</si>
  <si>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</si>
  <si>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</si>
  <si>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</si>
  <si>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</si>
  <si>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</si>
  <si>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</si>
  <si>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</si>
  <si>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</si>
  <si>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</si>
  <si>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</si>
  <si>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</si>
  <si>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</si>
  <si>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</si>
  <si>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</si>
  <si>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</si>
  <si>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</si>
  <si>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</si>
  <si>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</si>
  <si>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</si>
  <si>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</si>
  <si>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</si>
  <si>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</si>
  <si>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</si>
  <si>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</si>
  <si>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</si>
  <si>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</si>
  <si>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</si>
  <si>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</si>
  <si>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</si>
  <si>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</si>
  <si>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</si>
  <si>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</si>
  <si>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</si>
  <si>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</si>
  <si>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</si>
  <si>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</si>
  <si>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</si>
  <si>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</si>
  <si>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</si>
  <si>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</si>
  <si>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</si>
  <si>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</si>
  <si>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</si>
  <si>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</si>
  <si>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</si>
  <si>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</si>
  <si>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</si>
  <si>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</si>
  <si>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</si>
  <si>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</si>
  <si>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</si>
  <si>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</si>
  <si>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</si>
  <si>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</si>
  <si>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</si>
  <si>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</si>
  <si>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</si>
  <si>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</si>
  <si>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</si>
  <si>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</si>
  <si>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</si>
  <si>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</si>
  <si>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</si>
  <si>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</si>
  <si>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</si>
  <si>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</si>
  <si>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</si>
  <si>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</si>
  <si>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</si>
  <si>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</si>
  <si>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</si>
  <si>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</si>
  <si>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</si>
  <si>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</si>
  <si>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</si>
  <si>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</si>
  <si>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</si>
  <si>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</si>
  <si>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</si>
  <si>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</si>
  <si>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</si>
  <si>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</si>
  <si>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</si>
  <si>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</si>
  <si>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</si>
  <si>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</si>
  <si>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</si>
  <si>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</si>
  <si>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</si>
  <si>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</si>
  <si>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</si>
  <si>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</si>
  <si>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</si>
  <si>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</si>
  <si>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</si>
  <si>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</si>
  <si>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</si>
  <si>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</si>
  <si>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</si>
  <si>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</si>
  <si>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</si>
  <si>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</si>
  <si>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</si>
  <si>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</si>
  <si>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</si>
  <si>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Amherst School District</t>
  </si>
  <si>
    <t>Agency Funds</t>
  </si>
  <si>
    <t>7/8</t>
  </si>
  <si>
    <t>7/21</t>
  </si>
  <si>
    <t>12/11</t>
  </si>
  <si>
    <t>8/28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</si>
</sst>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17</v>
      </c>
      <c r="C2" s="21">
        <v>17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-606774.18000000005</v>
      </c>
      <c r="G9" s="18">
        <v>0</v>
      </c>
      <c r="H9" s="18">
        <v>0</v>
      </c>
      <c r="I9" s="18">
        <v>31.01</v>
      </c>
      <c r="J9" s="67">
        <f>SUM(I439)</f>
        <v>123123.94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765515.45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>
        <v>0</v>
      </c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11919.83</v>
      </c>
      <c r="G12" s="18">
        <v>52408.31</v>
      </c>
      <c r="H12" s="18">
        <v>0</v>
      </c>
      <c r="I12" s="18">
        <v>0</v>
      </c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254375.51</v>
      </c>
      <c r="G13" s="18">
        <v>13216.8</v>
      </c>
      <c r="H13" s="18">
        <v>65751.509999999995</v>
      </c>
      <c r="I13" s="18">
        <v>0</v>
      </c>
      <c r="J13" s="67">
        <f>SUM(I442)</f>
        <v>198704.05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3698.1</v>
      </c>
      <c r="G14" s="18">
        <v>5.85</v>
      </c>
      <c r="H14" s="18">
        <v>0</v>
      </c>
      <c r="I14" s="18">
        <v>0</v>
      </c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>
        <v>0</v>
      </c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428734.70999999985</v>
      </c>
      <c r="G19" s="41">
        <f>SUM(G9:G18)</f>
        <v>65630.960000000006</v>
      </c>
      <c r="H19" s="41">
        <f>SUM(H9:H18)</f>
        <v>65751.509999999995</v>
      </c>
      <c r="I19" s="41">
        <f>SUM(I9:I18)</f>
        <v>31.01</v>
      </c>
      <c r="J19" s="41">
        <f>SUM(J9:J18)</f>
        <v>321827.99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0</v>
      </c>
      <c r="G22" s="18">
        <v>0</v>
      </c>
      <c r="H22" s="18">
        <v>64323.21</v>
      </c>
      <c r="I22" s="18">
        <v>0</v>
      </c>
      <c r="J22" s="67">
        <f>SUM(I448)</f>
        <v>4.93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f>6732.22+27019.1</f>
        <v>33751.32</v>
      </c>
      <c r="G23" s="18">
        <v>5594.87</v>
      </c>
      <c r="H23" s="18">
        <v>0</v>
      </c>
      <c r="I23" s="18">
        <v>0</v>
      </c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201991.09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>
        <v>0</v>
      </c>
      <c r="G26" s="24" t="s">
        <v>288</v>
      </c>
      <c r="H26" s="24" t="s">
        <v>288</v>
      </c>
      <c r="I26" s="18">
        <v>0</v>
      </c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>
        <v>0</v>
      </c>
      <c r="G27" s="24" t="s">
        <v>288</v>
      </c>
      <c r="H27" s="24" t="s">
        <v>288</v>
      </c>
      <c r="I27" s="18">
        <v>0</v>
      </c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41664.31</v>
      </c>
      <c r="G28" s="18">
        <v>0</v>
      </c>
      <c r="H28" s="18">
        <v>0</v>
      </c>
      <c r="I28" s="18">
        <v>0</v>
      </c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31248.62</v>
      </c>
      <c r="G29" s="18">
        <v>0</v>
      </c>
      <c r="H29" s="18">
        <v>0</v>
      </c>
      <c r="I29" s="18">
        <v>0</v>
      </c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6503.06</v>
      </c>
      <c r="G30" s="18">
        <v>19423.77</v>
      </c>
      <c r="H30" s="18">
        <v>1428.3</v>
      </c>
      <c r="I30" s="18">
        <v>0</v>
      </c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123123.94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315158.39999999997</v>
      </c>
      <c r="G32" s="41">
        <f>SUM(G22:G31)</f>
        <v>25018.639999999999</v>
      </c>
      <c r="H32" s="41">
        <f>SUM(H22:H31)</f>
        <v>65751.509999999995</v>
      </c>
      <c r="I32" s="41">
        <f>SUM(I22:I31)</f>
        <v>0</v>
      </c>
      <c r="J32" s="41">
        <f>SUM(J22:J31)</f>
        <v>123128.87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50000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40612.32</v>
      </c>
      <c r="H48" s="18">
        <v>0</v>
      </c>
      <c r="I48" s="18">
        <f>30.99+0.02</f>
        <v>31.009999999999998</v>
      </c>
      <c r="J48" s="13">
        <f>SUM(I459)</f>
        <v>198699.12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-50000.26+113576.57</f>
        <v>63576.310000000005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113576.31</v>
      </c>
      <c r="G51" s="41">
        <f>SUM(G35:G50)</f>
        <v>40612.32</v>
      </c>
      <c r="H51" s="41">
        <f>SUM(H35:H50)</f>
        <v>0</v>
      </c>
      <c r="I51" s="41">
        <f>SUM(I35:I50)</f>
        <v>31.009999999999998</v>
      </c>
      <c r="J51" s="41">
        <f>SUM(J35:J50)</f>
        <v>198699.12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428734.70999999996</v>
      </c>
      <c r="G52" s="41">
        <f>G51+G32</f>
        <v>65630.959999999992</v>
      </c>
      <c r="H52" s="41">
        <f>H51+H32</f>
        <v>65751.509999999995</v>
      </c>
      <c r="I52" s="41">
        <f>I51+I32</f>
        <v>31.009999999999998</v>
      </c>
      <c r="J52" s="41">
        <f>J51+J32</f>
        <v>321827.99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17399384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17399384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53528.2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870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f>955788.07-27019.1</f>
        <v>928768.97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983167.16999999993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5065.8599999999997</v>
      </c>
      <c r="G96" s="18"/>
      <c r="H96" s="18"/>
      <c r="I96" s="18">
        <v>0.02</v>
      </c>
      <c r="J96" s="18">
        <v>831.12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349022.3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29237.5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4037.5</v>
      </c>
      <c r="G101" s="18">
        <v>0</v>
      </c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0</v>
      </c>
      <c r="G102" s="18"/>
      <c r="H102" s="18">
        <v>1776.7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>
        <v>0</v>
      </c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9792.0400000000009</v>
      </c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2849.62</v>
      </c>
      <c r="G109" s="18">
        <v>0</v>
      </c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1091.5</v>
      </c>
      <c r="G110" s="18">
        <v>691.94</v>
      </c>
      <c r="H110" s="18"/>
      <c r="I110" s="18"/>
      <c r="J110" s="18">
        <v>2039.98</v>
      </c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52074.020000000004</v>
      </c>
      <c r="G111" s="41">
        <f>SUM(G96:G110)</f>
        <v>349714.24</v>
      </c>
      <c r="H111" s="41">
        <f>SUM(H96:H110)</f>
        <v>1776.7</v>
      </c>
      <c r="I111" s="41">
        <f>SUM(I96:I110)</f>
        <v>0.02</v>
      </c>
      <c r="J111" s="41">
        <f>SUM(J96:J110)</f>
        <v>2871.1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18434625.190000001</v>
      </c>
      <c r="G112" s="41">
        <f>G60+G111</f>
        <v>349714.24</v>
      </c>
      <c r="H112" s="41">
        <f>H60+H79+H94+H111</f>
        <v>1776.7</v>
      </c>
      <c r="I112" s="41">
        <f>I60+I111</f>
        <v>0.02</v>
      </c>
      <c r="J112" s="41">
        <f>J60+J111</f>
        <v>2871.1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2080689.76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2306831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1915.86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4389436.62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143915.70000000001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297122.09999999998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3604.16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>
        <v>0</v>
      </c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441037.8</v>
      </c>
      <c r="G136" s="41">
        <f>SUM(G123:G135)</f>
        <v>3604.16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4830474.42</v>
      </c>
      <c r="G140" s="41">
        <f>G121+SUM(G136:G137)</f>
        <v>3604.16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56543.31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68174.63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44463.44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252484.28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245924.54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>
        <v>0</v>
      </c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245924.54</v>
      </c>
      <c r="G162" s="41">
        <f>SUM(G150:G161)</f>
        <v>44463.44</v>
      </c>
      <c r="H162" s="41">
        <f>SUM(H150:H161)</f>
        <v>377202.22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245924.54</v>
      </c>
      <c r="G169" s="41">
        <f>G147+G162+SUM(G163:G168)</f>
        <v>44463.44</v>
      </c>
      <c r="H169" s="41">
        <f>H147+H162+SUM(H163:H168)</f>
        <v>377202.22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0</v>
      </c>
      <c r="H179" s="18"/>
      <c r="I179" s="18">
        <v>0</v>
      </c>
      <c r="J179" s="18">
        <v>50000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23511024.149999999</v>
      </c>
      <c r="G193" s="47">
        <f>G112+G140+G169+G192</f>
        <v>397781.83999999997</v>
      </c>
      <c r="H193" s="47">
        <f>H112+H140+H169+H192</f>
        <v>378978.92</v>
      </c>
      <c r="I193" s="47">
        <f>I112+I140+I169+I192</f>
        <v>0.02</v>
      </c>
      <c r="J193" s="47">
        <f>J112+J140+J192</f>
        <v>52871.1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3159412.51</v>
      </c>
      <c r="G197" s="18">
        <v>1550531.16</v>
      </c>
      <c r="H197" s="18">
        <v>24923.5</v>
      </c>
      <c r="I197" s="18">
        <v>166384.76</v>
      </c>
      <c r="J197" s="18">
        <v>90137.53</v>
      </c>
      <c r="K197" s="18">
        <v>499</v>
      </c>
      <c r="L197" s="19">
        <f>SUM(F197:K197)</f>
        <v>4991888.46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1251580.96</v>
      </c>
      <c r="G198" s="18">
        <v>772619.36</v>
      </c>
      <c r="H198" s="18">
        <v>141362.81</v>
      </c>
      <c r="I198" s="18">
        <v>7206.7</v>
      </c>
      <c r="J198" s="18">
        <v>1169.79</v>
      </c>
      <c r="K198" s="18">
        <v>0</v>
      </c>
      <c r="L198" s="19">
        <f>SUM(F198:K198)</f>
        <v>2173939.62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14157.5</v>
      </c>
      <c r="G200" s="18">
        <v>2231.59</v>
      </c>
      <c r="H200" s="18">
        <v>0</v>
      </c>
      <c r="I200" s="18">
        <v>0</v>
      </c>
      <c r="J200" s="18">
        <v>0</v>
      </c>
      <c r="K200" s="18">
        <v>252.5</v>
      </c>
      <c r="L200" s="19">
        <f>SUM(F200:K200)</f>
        <v>16641.59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902084.37</v>
      </c>
      <c r="G202" s="18">
        <v>424070.03</v>
      </c>
      <c r="H202" s="18">
        <v>371451.5</v>
      </c>
      <c r="I202" s="18">
        <v>6678.26</v>
      </c>
      <c r="J202" s="18">
        <v>0</v>
      </c>
      <c r="K202" s="18">
        <v>0</v>
      </c>
      <c r="L202" s="19">
        <f t="shared" ref="L202:L208" si="0">SUM(F202:K202)</f>
        <v>1704284.1599999999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207742.74</v>
      </c>
      <c r="G203" s="18">
        <f>122705.19+5.63</f>
        <v>122710.82</v>
      </c>
      <c r="H203" s="18">
        <v>10500</v>
      </c>
      <c r="I203" s="18">
        <v>16735.62</v>
      </c>
      <c r="J203" s="18">
        <v>304.99</v>
      </c>
      <c r="K203" s="18">
        <v>0</v>
      </c>
      <c r="L203" s="19">
        <f t="shared" si="0"/>
        <v>357994.17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4130.88</v>
      </c>
      <c r="G204" s="18">
        <v>330.33</v>
      </c>
      <c r="H204" s="18">
        <v>614327.44999999995</v>
      </c>
      <c r="I204" s="18">
        <v>21.37</v>
      </c>
      <c r="J204" s="18">
        <v>0</v>
      </c>
      <c r="K204" s="18">
        <v>2974.37</v>
      </c>
      <c r="L204" s="19">
        <f t="shared" si="0"/>
        <v>621784.39999999991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381506.74</v>
      </c>
      <c r="G205" s="18">
        <v>187004.91</v>
      </c>
      <c r="H205" s="18">
        <v>20316.849999999999</v>
      </c>
      <c r="I205" s="18">
        <v>16874.990000000002</v>
      </c>
      <c r="J205" s="18">
        <v>516.54</v>
      </c>
      <c r="K205" s="18">
        <v>1005</v>
      </c>
      <c r="L205" s="19">
        <f t="shared" si="0"/>
        <v>607225.03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0</v>
      </c>
      <c r="G206" s="18">
        <v>0</v>
      </c>
      <c r="H206" s="18">
        <v>211.06</v>
      </c>
      <c r="I206" s="18">
        <v>0</v>
      </c>
      <c r="J206" s="18">
        <v>0</v>
      </c>
      <c r="K206" s="18">
        <v>0</v>
      </c>
      <c r="L206" s="19">
        <f t="shared" si="0"/>
        <v>211.06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249709.06</v>
      </c>
      <c r="G207" s="18">
        <v>134175.14000000001</v>
      </c>
      <c r="H207" s="18">
        <v>199387.35</v>
      </c>
      <c r="I207" s="18">
        <v>149770.20000000001</v>
      </c>
      <c r="J207" s="18">
        <v>3152.2</v>
      </c>
      <c r="K207" s="18">
        <v>0</v>
      </c>
      <c r="L207" s="19">
        <f t="shared" si="0"/>
        <v>736193.95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0</v>
      </c>
      <c r="G208" s="18">
        <v>0</v>
      </c>
      <c r="H208" s="18">
        <v>526889.75</v>
      </c>
      <c r="I208" s="18">
        <v>0</v>
      </c>
      <c r="J208" s="18">
        <v>0</v>
      </c>
      <c r="K208" s="18">
        <v>0</v>
      </c>
      <c r="L208" s="19">
        <f t="shared" si="0"/>
        <v>526889.75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65948</v>
      </c>
      <c r="G209" s="18">
        <v>35253.19</v>
      </c>
      <c r="H209" s="18">
        <v>18103.27</v>
      </c>
      <c r="I209" s="18">
        <v>15166</v>
      </c>
      <c r="J209" s="18">
        <v>28127.26</v>
      </c>
      <c r="K209" s="18">
        <v>0</v>
      </c>
      <c r="L209" s="19">
        <f>SUM(F209:K209)</f>
        <v>162597.72000000003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6236272.7599999998</v>
      </c>
      <c r="G211" s="41">
        <f t="shared" si="1"/>
        <v>3228926.53</v>
      </c>
      <c r="H211" s="41">
        <f t="shared" si="1"/>
        <v>1927473.5400000003</v>
      </c>
      <c r="I211" s="41">
        <f t="shared" si="1"/>
        <v>378837.9</v>
      </c>
      <c r="J211" s="41">
        <f t="shared" si="1"/>
        <v>123408.30999999998</v>
      </c>
      <c r="K211" s="41">
        <f t="shared" si="1"/>
        <v>4730.87</v>
      </c>
      <c r="L211" s="41">
        <f t="shared" si="1"/>
        <v>11899649.91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3243314.99</v>
      </c>
      <c r="G215" s="18">
        <v>1567477.17</v>
      </c>
      <c r="H215" s="18">
        <v>9366.39</v>
      </c>
      <c r="I215" s="18">
        <v>115893.91</v>
      </c>
      <c r="J215" s="18">
        <v>179929.37</v>
      </c>
      <c r="K215" s="18">
        <v>482.5</v>
      </c>
      <c r="L215" s="19">
        <f>SUM(F215:K215)</f>
        <v>5116464.33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1033866.86</v>
      </c>
      <c r="G216" s="18">
        <v>682953.51</v>
      </c>
      <c r="H216" s="18">
        <v>215911.57</v>
      </c>
      <c r="I216" s="18">
        <v>6501.71</v>
      </c>
      <c r="J216" s="18">
        <v>3847.46</v>
      </c>
      <c r="K216" s="18">
        <v>0</v>
      </c>
      <c r="L216" s="19">
        <f>SUM(F216:K216)</f>
        <v>1943081.11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97281.65</v>
      </c>
      <c r="G218" s="18">
        <v>16383.65</v>
      </c>
      <c r="H218" s="18">
        <v>10376.450000000001</v>
      </c>
      <c r="I218" s="18">
        <v>5423.76</v>
      </c>
      <c r="J218" s="18">
        <v>0</v>
      </c>
      <c r="K218" s="18">
        <v>4690.5</v>
      </c>
      <c r="L218" s="19">
        <f>SUM(F218:K218)</f>
        <v>134156.00999999998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560422.93000000005</v>
      </c>
      <c r="G220" s="18">
        <v>268581.07</v>
      </c>
      <c r="H220" s="18">
        <v>259891.43</v>
      </c>
      <c r="I220" s="18">
        <v>8043.19</v>
      </c>
      <c r="J220" s="18">
        <v>0</v>
      </c>
      <c r="K220" s="18">
        <v>0</v>
      </c>
      <c r="L220" s="19">
        <f t="shared" ref="L220:L226" si="2">SUM(F220:K220)</f>
        <v>1096938.6199999999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134131.51999999999</v>
      </c>
      <c r="G221" s="18">
        <f>127939.46+5.62</f>
        <v>127945.08</v>
      </c>
      <c r="H221" s="18">
        <v>8068.34</v>
      </c>
      <c r="I221" s="18">
        <v>14579.65</v>
      </c>
      <c r="J221" s="18">
        <v>0</v>
      </c>
      <c r="K221" s="18">
        <v>0</v>
      </c>
      <c r="L221" s="19">
        <f t="shared" si="2"/>
        <v>284724.59000000003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4130.87</v>
      </c>
      <c r="G222" s="18">
        <v>330.16</v>
      </c>
      <c r="H222" s="18">
        <v>597736.21</v>
      </c>
      <c r="I222" s="18">
        <v>21.36</v>
      </c>
      <c r="J222" s="18">
        <v>0</v>
      </c>
      <c r="K222" s="18">
        <v>2974.37</v>
      </c>
      <c r="L222" s="19">
        <f t="shared" si="2"/>
        <v>605192.97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396666.89</v>
      </c>
      <c r="G223" s="18">
        <v>209682.72</v>
      </c>
      <c r="H223" s="18">
        <v>26570.73</v>
      </c>
      <c r="I223" s="18">
        <v>34281.26</v>
      </c>
      <c r="J223" s="18">
        <v>11318.06</v>
      </c>
      <c r="K223" s="18">
        <v>3164</v>
      </c>
      <c r="L223" s="19">
        <f t="shared" si="2"/>
        <v>681683.66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0</v>
      </c>
      <c r="G224" s="18">
        <v>0</v>
      </c>
      <c r="H224" s="18">
        <v>285</v>
      </c>
      <c r="I224" s="18">
        <v>0</v>
      </c>
      <c r="J224" s="18">
        <v>0</v>
      </c>
      <c r="K224" s="18">
        <v>0</v>
      </c>
      <c r="L224" s="19">
        <f t="shared" si="2"/>
        <v>285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250637.45</v>
      </c>
      <c r="G225" s="18">
        <v>131969.94</v>
      </c>
      <c r="H225" s="18">
        <v>172621.95</v>
      </c>
      <c r="I225" s="18">
        <v>194785.52</v>
      </c>
      <c r="J225" s="18">
        <v>4239.6099999999997</v>
      </c>
      <c r="K225" s="18">
        <v>141</v>
      </c>
      <c r="L225" s="19">
        <f t="shared" si="2"/>
        <v>754395.47000000009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0</v>
      </c>
      <c r="G226" s="18">
        <v>0</v>
      </c>
      <c r="H226" s="18">
        <v>330510.52</v>
      </c>
      <c r="I226" s="18">
        <v>0</v>
      </c>
      <c r="J226" s="18">
        <v>0</v>
      </c>
      <c r="K226" s="18">
        <v>0</v>
      </c>
      <c r="L226" s="19">
        <f t="shared" si="2"/>
        <v>330510.52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127805</v>
      </c>
      <c r="G227" s="18">
        <v>53878.400000000001</v>
      </c>
      <c r="H227" s="18">
        <v>19979.2</v>
      </c>
      <c r="I227" s="18">
        <v>15510.27</v>
      </c>
      <c r="J227" s="18">
        <v>20197.009999999998</v>
      </c>
      <c r="K227" s="18">
        <v>0</v>
      </c>
      <c r="L227" s="19">
        <f>SUM(F227:K227)</f>
        <v>237369.88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5848258.1600000001</v>
      </c>
      <c r="G229" s="41">
        <f>SUM(G215:G228)</f>
        <v>3059201.6999999997</v>
      </c>
      <c r="H229" s="41">
        <f>SUM(H215:H228)</f>
        <v>1651317.79</v>
      </c>
      <c r="I229" s="41">
        <f>SUM(I215:I228)</f>
        <v>395040.63</v>
      </c>
      <c r="J229" s="41">
        <f>SUM(J215:J228)</f>
        <v>219531.50999999998</v>
      </c>
      <c r="K229" s="41">
        <f t="shared" si="3"/>
        <v>11452.369999999999</v>
      </c>
      <c r="L229" s="41">
        <f t="shared" si="3"/>
        <v>11184802.160000002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12084530.92</v>
      </c>
      <c r="G257" s="41">
        <f t="shared" si="8"/>
        <v>6288128.2299999995</v>
      </c>
      <c r="H257" s="41">
        <f t="shared" si="8"/>
        <v>3578791.33</v>
      </c>
      <c r="I257" s="41">
        <f t="shared" si="8"/>
        <v>773878.53</v>
      </c>
      <c r="J257" s="41">
        <f t="shared" si="8"/>
        <v>342939.81999999995</v>
      </c>
      <c r="K257" s="41">
        <f t="shared" si="8"/>
        <v>16183.239999999998</v>
      </c>
      <c r="L257" s="41">
        <f t="shared" si="8"/>
        <v>23084452.07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390000</v>
      </c>
      <c r="L260" s="19">
        <f>SUM(F260:K260)</f>
        <v>390000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142262.51</v>
      </c>
      <c r="L261" s="19">
        <f>SUM(F261:K261)</f>
        <v>142262.51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582262.51</v>
      </c>
      <c r="L270" s="41">
        <f t="shared" si="9"/>
        <v>582262.51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12084530.92</v>
      </c>
      <c r="G271" s="42">
        <f t="shared" si="11"/>
        <v>6288128.2299999995</v>
      </c>
      <c r="H271" s="42">
        <f t="shared" si="11"/>
        <v>3578791.33</v>
      </c>
      <c r="I271" s="42">
        <f t="shared" si="11"/>
        <v>773878.53</v>
      </c>
      <c r="J271" s="42">
        <f t="shared" si="11"/>
        <v>342939.81999999995</v>
      </c>
      <c r="K271" s="42">
        <f t="shared" si="11"/>
        <v>598445.75</v>
      </c>
      <c r="L271" s="42">
        <f t="shared" si="11"/>
        <v>23666714.580000002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19511.310000000001</v>
      </c>
      <c r="G276" s="18">
        <v>4170.17</v>
      </c>
      <c r="H276" s="18">
        <v>0</v>
      </c>
      <c r="I276" s="18">
        <v>41</v>
      </c>
      <c r="J276" s="18">
        <v>0</v>
      </c>
      <c r="K276" s="18">
        <v>0</v>
      </c>
      <c r="L276" s="19">
        <f>SUM(F276:K276)</f>
        <v>23722.480000000003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80276.929999999993</v>
      </c>
      <c r="G277" s="18">
        <v>15653.5</v>
      </c>
      <c r="H277" s="18">
        <v>250</v>
      </c>
      <c r="I277" s="18">
        <v>647.5</v>
      </c>
      <c r="J277" s="18">
        <v>2073.88</v>
      </c>
      <c r="K277" s="18">
        <v>0</v>
      </c>
      <c r="L277" s="19">
        <f>SUM(F277:K277)</f>
        <v>98901.81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0</v>
      </c>
      <c r="G281" s="18">
        <v>0</v>
      </c>
      <c r="H281" s="18">
        <f>45.08+5825</f>
        <v>5870.08</v>
      </c>
      <c r="I281" s="18">
        <v>0</v>
      </c>
      <c r="J281" s="18">
        <v>504.22</v>
      </c>
      <c r="K281" s="18">
        <v>0</v>
      </c>
      <c r="L281" s="19">
        <f t="shared" ref="L281:L287" si="12">SUM(F281:K281)</f>
        <v>6374.3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f>23467.08+2004</f>
        <v>25471.08</v>
      </c>
      <c r="G282" s="18">
        <f>5472.51+467.33</f>
        <v>5939.84</v>
      </c>
      <c r="H282" s="18">
        <f>368.75+120.85+281.99</f>
        <v>771.59</v>
      </c>
      <c r="I282" s="18">
        <v>897.4</v>
      </c>
      <c r="J282" s="18">
        <v>0</v>
      </c>
      <c r="K282" s="18">
        <v>0</v>
      </c>
      <c r="L282" s="19">
        <f t="shared" si="12"/>
        <v>33079.910000000003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0</v>
      </c>
      <c r="G283" s="18">
        <v>0</v>
      </c>
      <c r="H283" s="18">
        <v>99.93</v>
      </c>
      <c r="I283" s="18">
        <v>0</v>
      </c>
      <c r="J283" s="18">
        <v>0</v>
      </c>
      <c r="K283" s="18">
        <v>0</v>
      </c>
      <c r="L283" s="19">
        <f t="shared" si="12"/>
        <v>99.93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>
        <v>6250</v>
      </c>
      <c r="I285" s="18"/>
      <c r="J285" s="18"/>
      <c r="K285" s="18"/>
      <c r="L285" s="19">
        <f t="shared" si="12"/>
        <v>6250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125259.31999999999</v>
      </c>
      <c r="G290" s="42">
        <f t="shared" si="13"/>
        <v>25763.51</v>
      </c>
      <c r="H290" s="42">
        <f t="shared" si="13"/>
        <v>13241.6</v>
      </c>
      <c r="I290" s="42">
        <f t="shared" si="13"/>
        <v>1585.9</v>
      </c>
      <c r="J290" s="42">
        <f t="shared" si="13"/>
        <v>2578.1000000000004</v>
      </c>
      <c r="K290" s="42">
        <f t="shared" si="13"/>
        <v>0</v>
      </c>
      <c r="L290" s="41">
        <f t="shared" si="13"/>
        <v>168428.43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11553.5</v>
      </c>
      <c r="G295" s="18">
        <v>2603.73</v>
      </c>
      <c r="H295" s="18">
        <v>0</v>
      </c>
      <c r="I295" s="18">
        <v>636</v>
      </c>
      <c r="J295" s="18">
        <v>1330</v>
      </c>
      <c r="K295" s="18">
        <v>0</v>
      </c>
      <c r="L295" s="19">
        <f>SUM(F295:K295)</f>
        <v>16123.23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108812.65</v>
      </c>
      <c r="G296" s="18">
        <v>22447.25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131259.9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0</v>
      </c>
      <c r="G300" s="18">
        <v>0</v>
      </c>
      <c r="H300" s="18">
        <v>15993.35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15993.35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f>28184.96+2004</f>
        <v>30188.959999999999</v>
      </c>
      <c r="G301" s="18">
        <f>6436.19+467.33</f>
        <v>6903.5199999999995</v>
      </c>
      <c r="H301" s="18">
        <f>368.75+150.01+425+500+600+600+281.99</f>
        <v>2925.75</v>
      </c>
      <c r="I301" s="18">
        <v>0</v>
      </c>
      <c r="J301" s="18">
        <v>0</v>
      </c>
      <c r="K301" s="18">
        <v>0</v>
      </c>
      <c r="L301" s="19">
        <f t="shared" si="14"/>
        <v>40018.229999999996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v>0</v>
      </c>
      <c r="G302" s="18">
        <v>0</v>
      </c>
      <c r="H302" s="18">
        <v>99.93</v>
      </c>
      <c r="I302" s="18">
        <v>0</v>
      </c>
      <c r="J302" s="18">
        <v>0</v>
      </c>
      <c r="K302" s="18">
        <v>0</v>
      </c>
      <c r="L302" s="19">
        <f t="shared" si="14"/>
        <v>99.93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>
        <v>6250</v>
      </c>
      <c r="I304" s="18"/>
      <c r="J304" s="18"/>
      <c r="K304" s="18"/>
      <c r="L304" s="19">
        <f t="shared" si="14"/>
        <v>6250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>
        <v>0</v>
      </c>
      <c r="G307" s="18">
        <v>0</v>
      </c>
      <c r="H307" s="18">
        <v>0</v>
      </c>
      <c r="I307" s="18">
        <v>805.85</v>
      </c>
      <c r="J307" s="18">
        <v>0</v>
      </c>
      <c r="K307" s="18">
        <v>0</v>
      </c>
      <c r="L307" s="19">
        <f>SUM(F307:K307)</f>
        <v>805.85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150555.10999999999</v>
      </c>
      <c r="G309" s="42">
        <f t="shared" si="15"/>
        <v>31954.5</v>
      </c>
      <c r="H309" s="42">
        <f t="shared" si="15"/>
        <v>25269.03</v>
      </c>
      <c r="I309" s="42">
        <f t="shared" si="15"/>
        <v>1441.85</v>
      </c>
      <c r="J309" s="42">
        <f t="shared" si="15"/>
        <v>1330</v>
      </c>
      <c r="K309" s="42">
        <f t="shared" si="15"/>
        <v>0</v>
      </c>
      <c r="L309" s="41">
        <f t="shared" si="15"/>
        <v>210550.49000000002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275814.43</v>
      </c>
      <c r="G338" s="41">
        <f t="shared" si="20"/>
        <v>57718.009999999995</v>
      </c>
      <c r="H338" s="41">
        <f t="shared" si="20"/>
        <v>38510.629999999997</v>
      </c>
      <c r="I338" s="41">
        <f t="shared" si="20"/>
        <v>3027.75</v>
      </c>
      <c r="J338" s="41">
        <f t="shared" si="20"/>
        <v>3908.1000000000004</v>
      </c>
      <c r="K338" s="41">
        <f t="shared" si="20"/>
        <v>0</v>
      </c>
      <c r="L338" s="41">
        <f t="shared" si="20"/>
        <v>378978.92000000004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275814.43</v>
      </c>
      <c r="G352" s="41">
        <f>G338</f>
        <v>57718.009999999995</v>
      </c>
      <c r="H352" s="41">
        <f>H338</f>
        <v>38510.629999999997</v>
      </c>
      <c r="I352" s="41">
        <f>I338</f>
        <v>3027.75</v>
      </c>
      <c r="J352" s="41">
        <f>J338</f>
        <v>3908.1000000000004</v>
      </c>
      <c r="K352" s="47">
        <f>K338+K351</f>
        <v>0</v>
      </c>
      <c r="L352" s="41">
        <f>L338+L351</f>
        <v>378978.92000000004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62134.54</v>
      </c>
      <c r="G358" s="18">
        <v>48952.480000000003</v>
      </c>
      <c r="H358" s="18">
        <v>87.02</v>
      </c>
      <c r="I358" s="18">
        <v>47444.81</v>
      </c>
      <c r="J358" s="18">
        <v>0</v>
      </c>
      <c r="K358" s="18">
        <v>75</v>
      </c>
      <c r="L358" s="13">
        <f>SUM(F358:K358)</f>
        <v>158693.85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87207.38</v>
      </c>
      <c r="G359" s="18">
        <v>36750.400000000001</v>
      </c>
      <c r="H359" s="18">
        <v>1844.28</v>
      </c>
      <c r="I359" s="18">
        <v>68928.61</v>
      </c>
      <c r="J359" s="18">
        <v>3670</v>
      </c>
      <c r="K359" s="18">
        <v>75</v>
      </c>
      <c r="L359" s="19">
        <f>SUM(F359:K359)</f>
        <v>198475.66999999998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149341.92000000001</v>
      </c>
      <c r="G362" s="47">
        <f t="shared" si="22"/>
        <v>85702.88</v>
      </c>
      <c r="H362" s="47">
        <f t="shared" si="22"/>
        <v>1931.3</v>
      </c>
      <c r="I362" s="47">
        <f t="shared" si="22"/>
        <v>116373.42</v>
      </c>
      <c r="J362" s="47">
        <f t="shared" si="22"/>
        <v>3670</v>
      </c>
      <c r="K362" s="47">
        <f t="shared" si="22"/>
        <v>150</v>
      </c>
      <c r="L362" s="47">
        <f t="shared" si="22"/>
        <v>357169.52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42603.34</v>
      </c>
      <c r="G367" s="18">
        <v>63834.28</v>
      </c>
      <c r="H367" s="18"/>
      <c r="I367" s="56">
        <f>SUM(F367:H367)</f>
        <v>106437.62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4841.47</v>
      </c>
      <c r="G368" s="63">
        <v>5094.33</v>
      </c>
      <c r="H368" s="63"/>
      <c r="I368" s="56">
        <f>SUM(F368:H368)</f>
        <v>9935.7999999999993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47444.81</v>
      </c>
      <c r="G369" s="47">
        <f>SUM(G367:G368)</f>
        <v>68928.61</v>
      </c>
      <c r="H369" s="47">
        <f>SUM(H367:H368)</f>
        <v>0</v>
      </c>
      <c r="I369" s="47">
        <f>SUM(I367:I368)</f>
        <v>116373.42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212.1</v>
      </c>
      <c r="I396" s="18"/>
      <c r="J396" s="24" t="s">
        <v>288</v>
      </c>
      <c r="K396" s="24" t="s">
        <v>288</v>
      </c>
      <c r="L396" s="56">
        <f t="shared" si="26"/>
        <v>212.1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50000</v>
      </c>
      <c r="H397" s="18">
        <v>619.02</v>
      </c>
      <c r="I397" s="18"/>
      <c r="J397" s="24" t="s">
        <v>288</v>
      </c>
      <c r="K397" s="24" t="s">
        <v>288</v>
      </c>
      <c r="L397" s="56">
        <f t="shared" si="26"/>
        <v>50619.02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831.12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50831.119999999995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 t="s">
        <v>913</v>
      </c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>
        <v>2039.98</v>
      </c>
      <c r="J403" s="24" t="s">
        <v>288</v>
      </c>
      <c r="K403" s="24" t="s">
        <v>288</v>
      </c>
      <c r="L403" s="56">
        <f>SUM(F403:K403)</f>
        <v>2039.98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2039.98</v>
      </c>
      <c r="J407" s="49" t="s">
        <v>288</v>
      </c>
      <c r="K407" s="49" t="s">
        <v>288</v>
      </c>
      <c r="L407" s="47">
        <f>SUM(L403:L406)</f>
        <v>2039.98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831.12</v>
      </c>
      <c r="I408" s="47">
        <f>I393+I401+I407</f>
        <v>2039.98</v>
      </c>
      <c r="J408" s="24" t="s">
        <v>288</v>
      </c>
      <c r="K408" s="24" t="s">
        <v>288</v>
      </c>
      <c r="L408" s="47">
        <f>L393+L401+L407</f>
        <v>52871.1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913</v>
      </c>
      <c r="B429" s="6">
        <v>17</v>
      </c>
      <c r="C429" s="6">
        <v>15</v>
      </c>
      <c r="D429" s="2" t="s">
        <v>432</v>
      </c>
      <c r="E429" s="6"/>
      <c r="F429" s="18">
        <v>1650</v>
      </c>
      <c r="G429" s="18">
        <f>97.17+22.75+263.62+6.44</f>
        <v>389.98</v>
      </c>
      <c r="H429" s="18"/>
      <c r="I429" s="18"/>
      <c r="J429" s="18"/>
      <c r="K429" s="18"/>
      <c r="L429" s="56">
        <f>SUM(F429:K429)</f>
        <v>2039.98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1650</v>
      </c>
      <c r="G433" s="47">
        <f t="shared" si="31"/>
        <v>389.98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2039.98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1650</v>
      </c>
      <c r="G434" s="47">
        <f t="shared" si="32"/>
        <v>389.98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2039.98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>
        <f>102668.54+17841.46+2613.94</f>
        <v>123123.94</v>
      </c>
      <c r="I439" s="56">
        <f t="shared" ref="I439:I445" si="33">SUM(F439:H439)</f>
        <v>123123.94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>
        <f>47789.08+150910.04</f>
        <v>198699.12</v>
      </c>
      <c r="H442" s="18">
        <v>4.93</v>
      </c>
      <c r="I442" s="56">
        <f t="shared" si="33"/>
        <v>198704.05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198699.12</v>
      </c>
      <c r="H446" s="13">
        <f>SUM(H439:H445)</f>
        <v>123128.87</v>
      </c>
      <c r="I446" s="13">
        <f>SUM(I439:I445)</f>
        <v>321827.99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>
        <v>4.93</v>
      </c>
      <c r="I448" s="56">
        <f>SUM(F448:H448)</f>
        <v>4.93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>
        <f>102668.54+17841.46+2613.94</f>
        <v>123123.94</v>
      </c>
      <c r="I451" s="56">
        <f>SUM(F451:H451)</f>
        <v>123123.94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123128.87</v>
      </c>
      <c r="I452" s="72">
        <f>SUM(I448:I451)</f>
        <v>123128.87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f>147868+50831.12</f>
        <v>198699.12</v>
      </c>
      <c r="H459" s="18"/>
      <c r="I459" s="56">
        <f t="shared" si="34"/>
        <v>198699.12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198699.12</v>
      </c>
      <c r="H460" s="83">
        <f>SUM(H454:H459)</f>
        <v>0</v>
      </c>
      <c r="I460" s="83">
        <f>SUM(I454:I459)</f>
        <v>198699.12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198699.12</v>
      </c>
      <c r="H461" s="42">
        <f>H452+H460</f>
        <v>123128.87</v>
      </c>
      <c r="I461" s="42">
        <f>I452+I460</f>
        <v>321827.99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269266.74</v>
      </c>
      <c r="G465" s="18">
        <v>0</v>
      </c>
      <c r="H465" s="18">
        <v>0</v>
      </c>
      <c r="I465" s="18">
        <v>30.99</v>
      </c>
      <c r="J465" s="18">
        <v>147868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23511024.149999999</v>
      </c>
      <c r="G468" s="18">
        <f t="shared" ref="G468:J468" si="35">G193</f>
        <v>397781.83999999997</v>
      </c>
      <c r="H468" s="18">
        <f t="shared" si="35"/>
        <v>378978.92</v>
      </c>
      <c r="I468" s="18">
        <f t="shared" si="35"/>
        <v>0.02</v>
      </c>
      <c r="J468" s="18">
        <f t="shared" si="35"/>
        <v>52871.1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23511024.149999999</v>
      </c>
      <c r="G470" s="53">
        <f>SUM(G468:G469)</f>
        <v>397781.83999999997</v>
      </c>
      <c r="H470" s="53">
        <f>SUM(H468:H469)</f>
        <v>378978.92</v>
      </c>
      <c r="I470" s="53">
        <f>SUM(I468:I469)</f>
        <v>0.02</v>
      </c>
      <c r="J470" s="53">
        <f>SUM(J468:J469)</f>
        <v>52871.1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23666714.580000002</v>
      </c>
      <c r="G472" s="18">
        <f>L362</f>
        <v>357169.52</v>
      </c>
      <c r="H472" s="18">
        <f>L352</f>
        <v>378978.92000000004</v>
      </c>
      <c r="I472" s="18">
        <f>L382</f>
        <v>0</v>
      </c>
      <c r="J472" s="18">
        <f>L434</f>
        <v>2039.98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23666714.580000002</v>
      </c>
      <c r="G474" s="53">
        <f>SUM(G472:G473)</f>
        <v>357169.52</v>
      </c>
      <c r="H474" s="53">
        <f>SUM(H472:H473)</f>
        <v>378978.92000000004</v>
      </c>
      <c r="I474" s="53">
        <f>SUM(I472:I473)</f>
        <v>0</v>
      </c>
      <c r="J474" s="53">
        <f>SUM(J472:J473)</f>
        <v>2039.98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113576.30999999493</v>
      </c>
      <c r="G476" s="53">
        <f>(G465+G470)- G474</f>
        <v>40612.319999999949</v>
      </c>
      <c r="H476" s="53">
        <f>(H465+H470)- H474</f>
        <v>0</v>
      </c>
      <c r="I476" s="53">
        <f>(I465+I470)- I474</f>
        <v>31.009999999999998</v>
      </c>
      <c r="J476" s="53">
        <f>(J465+J470)- J474</f>
        <v>198699.12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10</v>
      </c>
      <c r="G490" s="154">
        <v>20</v>
      </c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916</v>
      </c>
      <c r="G491" s="155" t="s">
        <v>914</v>
      </c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915</v>
      </c>
      <c r="G492" s="155" t="s">
        <v>917</v>
      </c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1717000</v>
      </c>
      <c r="G493" s="18">
        <v>3883620</v>
      </c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1.62</v>
      </c>
      <c r="G494" s="18">
        <v>4.24</v>
      </c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1105000</v>
      </c>
      <c r="G495" s="18">
        <v>2520000</v>
      </c>
      <c r="H495" s="18"/>
      <c r="I495" s="18"/>
      <c r="J495" s="18"/>
      <c r="K495" s="53">
        <f>SUM(F495:J495)</f>
        <v>3625000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6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195000</v>
      </c>
      <c r="G497" s="18">
        <v>195000</v>
      </c>
      <c r="H497" s="18"/>
      <c r="I497" s="18"/>
      <c r="J497" s="18"/>
      <c r="K497" s="53">
        <f t="shared" si="36"/>
        <v>390000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f>F495-F497</f>
        <v>910000</v>
      </c>
      <c r="G498" s="204">
        <f>G495-G497</f>
        <v>2325000</v>
      </c>
      <c r="H498" s="204"/>
      <c r="I498" s="204"/>
      <c r="J498" s="204"/>
      <c r="K498" s="205">
        <f t="shared" si="36"/>
        <v>3235000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f>103725-32025</f>
        <v>71700</v>
      </c>
      <c r="G499" s="18">
        <f>720628.21-110237.51-140696</f>
        <v>469694.69999999995</v>
      </c>
      <c r="H499" s="18"/>
      <c r="I499" s="18"/>
      <c r="J499" s="18"/>
      <c r="K499" s="53">
        <f t="shared" si="36"/>
        <v>541394.69999999995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981700</v>
      </c>
      <c r="G500" s="42">
        <f>SUM(G498:G499)</f>
        <v>2794694.7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3776394.7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190000</v>
      </c>
      <c r="G501" s="204">
        <v>195000</v>
      </c>
      <c r="H501" s="204"/>
      <c r="I501" s="204"/>
      <c r="J501" s="204"/>
      <c r="K501" s="205">
        <f t="shared" si="36"/>
        <v>385000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f>14550+11700</f>
        <v>26250</v>
      </c>
      <c r="G502" s="18">
        <f>49121.38+44002.63</f>
        <v>93124.01</v>
      </c>
      <c r="H502" s="18"/>
      <c r="I502" s="18"/>
      <c r="J502" s="18"/>
      <c r="K502" s="53">
        <f t="shared" si="36"/>
        <v>119374.01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216250</v>
      </c>
      <c r="G503" s="42">
        <f>SUM(G501:G502)</f>
        <v>288124.01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504374.01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1331857.8899999999</v>
      </c>
      <c r="G521" s="18">
        <v>788272.86</v>
      </c>
      <c r="H521" s="18">
        <v>141612.81</v>
      </c>
      <c r="I521" s="18">
        <v>7854.2</v>
      </c>
      <c r="J521" s="18">
        <v>3243.67</v>
      </c>
      <c r="K521" s="18">
        <v>0</v>
      </c>
      <c r="L521" s="88">
        <f>SUM(F521:K521)</f>
        <v>2272841.4300000002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1142679.51</v>
      </c>
      <c r="G522" s="18">
        <v>705400.76</v>
      </c>
      <c r="H522" s="18">
        <f>215661.57+250</f>
        <v>215911.57</v>
      </c>
      <c r="I522" s="18">
        <v>6501.71</v>
      </c>
      <c r="J522" s="18">
        <v>3847.46</v>
      </c>
      <c r="K522" s="18">
        <v>0</v>
      </c>
      <c r="L522" s="88">
        <f>SUM(F522:K522)</f>
        <v>2074341.01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2474537.4</v>
      </c>
      <c r="G524" s="108">
        <f t="shared" ref="G524:L524" si="37">SUM(G521:G523)</f>
        <v>1493673.62</v>
      </c>
      <c r="H524" s="108">
        <f t="shared" si="37"/>
        <v>357524.38</v>
      </c>
      <c r="I524" s="108">
        <f t="shared" si="37"/>
        <v>14355.91</v>
      </c>
      <c r="J524" s="108">
        <f t="shared" si="37"/>
        <v>7091.13</v>
      </c>
      <c r="K524" s="108">
        <f t="shared" si="37"/>
        <v>0</v>
      </c>
      <c r="L524" s="89">
        <f t="shared" si="37"/>
        <v>4347182.4400000004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71546+367296.41</f>
        <v>438842.41</v>
      </c>
      <c r="G526" s="18">
        <v>236865.36</v>
      </c>
      <c r="H526" s="18">
        <v>361890.5</v>
      </c>
      <c r="I526" s="18">
        <v>2318.9499999999998</v>
      </c>
      <c r="J526" s="18">
        <v>504.22</v>
      </c>
      <c r="K526" s="18">
        <v>0</v>
      </c>
      <c r="L526" s="88">
        <f>SUM(F526:K526)</f>
        <v>1040421.44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274148</v>
      </c>
      <c r="G527" s="18">
        <v>130152.07</v>
      </c>
      <c r="H527" s="18">
        <v>224200.91</v>
      </c>
      <c r="I527" s="18">
        <v>1809.25</v>
      </c>
      <c r="J527" s="18">
        <v>0</v>
      </c>
      <c r="K527" s="18">
        <v>0</v>
      </c>
      <c r="L527" s="88">
        <f>SUM(F527:K527)</f>
        <v>630310.23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712990.40999999992</v>
      </c>
      <c r="G529" s="89">
        <f t="shared" ref="G529:L529" si="38">SUM(G526:G528)</f>
        <v>367017.43</v>
      </c>
      <c r="H529" s="89">
        <f t="shared" si="38"/>
        <v>586091.41</v>
      </c>
      <c r="I529" s="89">
        <f t="shared" si="38"/>
        <v>4128.2</v>
      </c>
      <c r="J529" s="89">
        <f t="shared" si="38"/>
        <v>504.22</v>
      </c>
      <c r="K529" s="89">
        <f t="shared" si="38"/>
        <v>0</v>
      </c>
      <c r="L529" s="89">
        <f t="shared" si="38"/>
        <v>1670731.67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20062.36</v>
      </c>
      <c r="I531" s="18"/>
      <c r="J531" s="18"/>
      <c r="K531" s="18"/>
      <c r="L531" s="88">
        <f>SUM(F531:K531)</f>
        <v>20062.36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>
        <v>5712.13</v>
      </c>
      <c r="I532" s="18"/>
      <c r="J532" s="18"/>
      <c r="K532" s="18"/>
      <c r="L532" s="88">
        <f>SUM(F532:K532)</f>
        <v>5712.13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9">SUM(G531:G533)</f>
        <v>0</v>
      </c>
      <c r="H534" s="89">
        <f t="shared" si="39"/>
        <v>25774.49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25774.49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2682.5</v>
      </c>
      <c r="I536" s="18"/>
      <c r="J536" s="18"/>
      <c r="K536" s="18"/>
      <c r="L536" s="88">
        <f>SUM(F536:K536)</f>
        <v>2682.5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441.5</v>
      </c>
      <c r="I537" s="18"/>
      <c r="J537" s="18"/>
      <c r="K537" s="18"/>
      <c r="L537" s="88">
        <f>SUM(F537:K537)</f>
        <v>441.5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3124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3124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107397</v>
      </c>
      <c r="I541" s="18"/>
      <c r="J541" s="18"/>
      <c r="K541" s="18"/>
      <c r="L541" s="88">
        <f>SUM(F541:K541)</f>
        <v>107397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74041.5</v>
      </c>
      <c r="I542" s="18"/>
      <c r="J542" s="18"/>
      <c r="K542" s="18"/>
      <c r="L542" s="88">
        <f>SUM(F542:K542)</f>
        <v>74041.5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181438.5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181438.5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3187527.8099999996</v>
      </c>
      <c r="G545" s="89">
        <f t="shared" ref="G545:L545" si="42">G524+G529+G534+G539+G544</f>
        <v>1860691.05</v>
      </c>
      <c r="H545" s="89">
        <f t="shared" si="42"/>
        <v>1153952.78</v>
      </c>
      <c r="I545" s="89">
        <f t="shared" si="42"/>
        <v>18484.11</v>
      </c>
      <c r="J545" s="89">
        <f t="shared" si="42"/>
        <v>7595.35</v>
      </c>
      <c r="K545" s="89">
        <f t="shared" si="42"/>
        <v>0</v>
      </c>
      <c r="L545" s="89">
        <f t="shared" si="42"/>
        <v>6228251.1000000006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2272841.4300000002</v>
      </c>
      <c r="G549" s="87">
        <f>L526</f>
        <v>1040421.44</v>
      </c>
      <c r="H549" s="87">
        <f>L531</f>
        <v>20062.36</v>
      </c>
      <c r="I549" s="87">
        <f>L536</f>
        <v>2682.5</v>
      </c>
      <c r="J549" s="87">
        <f>L541</f>
        <v>107397</v>
      </c>
      <c r="K549" s="87">
        <f>SUM(F549:J549)</f>
        <v>3443404.73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2074341.01</v>
      </c>
      <c r="G550" s="87">
        <f>L527</f>
        <v>630310.23</v>
      </c>
      <c r="H550" s="87">
        <f>L532</f>
        <v>5712.13</v>
      </c>
      <c r="I550" s="87">
        <f>L537</f>
        <v>441.5</v>
      </c>
      <c r="J550" s="87">
        <f>L542</f>
        <v>74041.5</v>
      </c>
      <c r="K550" s="87">
        <f>SUM(F550:J550)</f>
        <v>2784846.37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3">SUM(F549:F551)</f>
        <v>4347182.4400000004</v>
      </c>
      <c r="G552" s="89">
        <f t="shared" si="43"/>
        <v>1670731.67</v>
      </c>
      <c r="H552" s="89">
        <f t="shared" si="43"/>
        <v>25774.49</v>
      </c>
      <c r="I552" s="89">
        <f t="shared" si="43"/>
        <v>3124</v>
      </c>
      <c r="J552" s="89">
        <f t="shared" si="43"/>
        <v>181438.5</v>
      </c>
      <c r="K552" s="89">
        <f t="shared" si="43"/>
        <v>6228251.0999999996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8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43636.59</v>
      </c>
      <c r="G579" s="18">
        <v>0</v>
      </c>
      <c r="H579" s="18"/>
      <c r="I579" s="87">
        <f t="shared" si="48"/>
        <v>43636.59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8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0</v>
      </c>
      <c r="G582" s="18">
        <v>213986.57</v>
      </c>
      <c r="H582" s="18"/>
      <c r="I582" s="87">
        <f t="shared" si="48"/>
        <v>213986.57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8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419083.96</v>
      </c>
      <c r="I591" s="18">
        <v>238447.61</v>
      </c>
      <c r="J591" s="18"/>
      <c r="K591" s="104">
        <f t="shared" ref="K591:K597" si="49">SUM(H591:J591)</f>
        <v>657531.57000000007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107397</v>
      </c>
      <c r="I592" s="18">
        <v>74041.5</v>
      </c>
      <c r="J592" s="18"/>
      <c r="K592" s="104">
        <f t="shared" si="49"/>
        <v>181438.5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17633.91</v>
      </c>
      <c r="J594" s="18"/>
      <c r="K594" s="104">
        <f t="shared" si="49"/>
        <v>17633.91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408.79</v>
      </c>
      <c r="I595" s="18">
        <v>387.5</v>
      </c>
      <c r="J595" s="18"/>
      <c r="K595" s="104">
        <f t="shared" si="49"/>
        <v>796.29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526889.75</v>
      </c>
      <c r="I598" s="108">
        <f>SUM(I591:I597)</f>
        <v>330510.51999999996</v>
      </c>
      <c r="J598" s="108">
        <f>SUM(J591:J597)</f>
        <v>0</v>
      </c>
      <c r="K598" s="108">
        <f>SUM(K591:K597)</f>
        <v>857400.27000000014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>
        <v>0</v>
      </c>
      <c r="I602" s="18">
        <v>0</v>
      </c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>
        <v>0</v>
      </c>
      <c r="I603" s="18">
        <v>0</v>
      </c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125986.41</v>
      </c>
      <c r="I604" s="18">
        <f>224531.51-3670</f>
        <v>220861.51</v>
      </c>
      <c r="J604" s="18"/>
      <c r="K604" s="104">
        <f>SUM(H604:J604)</f>
        <v>346847.92000000004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125986.41</v>
      </c>
      <c r="I605" s="108">
        <f>SUM(I602:I604)</f>
        <v>220861.51</v>
      </c>
      <c r="J605" s="108">
        <f>SUM(J602:J604)</f>
        <v>0</v>
      </c>
      <c r="K605" s="108">
        <f>SUM(K602:K604)</f>
        <v>346847.92000000004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21915.31</v>
      </c>
      <c r="G611" s="18">
        <v>4730.78</v>
      </c>
      <c r="H611" s="18">
        <v>45.08</v>
      </c>
      <c r="I611" s="18">
        <v>41</v>
      </c>
      <c r="J611" s="18"/>
      <c r="K611" s="18"/>
      <c r="L611" s="88">
        <f>SUM(F611:K611)</f>
        <v>26732.170000000002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f>6145.38+13957.5</f>
        <v>20102.88</v>
      </c>
      <c r="G612" s="18">
        <f>1466.68+3164.34</f>
        <v>4631.0200000000004</v>
      </c>
      <c r="H612" s="18"/>
      <c r="I612" s="18">
        <f>19.92+189.3</f>
        <v>209.22000000000003</v>
      </c>
      <c r="J612" s="18"/>
      <c r="K612" s="18"/>
      <c r="L612" s="88">
        <f>SUM(F612:K612)</f>
        <v>24943.120000000003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0">SUM(F611:F613)</f>
        <v>42018.19</v>
      </c>
      <c r="G614" s="108">
        <f t="shared" si="50"/>
        <v>9361.7999999999993</v>
      </c>
      <c r="H614" s="108">
        <f t="shared" si="50"/>
        <v>45.08</v>
      </c>
      <c r="I614" s="108">
        <f t="shared" si="50"/>
        <v>250.22000000000003</v>
      </c>
      <c r="J614" s="108">
        <f t="shared" si="50"/>
        <v>0</v>
      </c>
      <c r="K614" s="108">
        <f t="shared" si="50"/>
        <v>0</v>
      </c>
      <c r="L614" s="89">
        <f t="shared" si="50"/>
        <v>51675.290000000008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428734.70999999985</v>
      </c>
      <c r="H617" s="109">
        <f>SUM(F52)</f>
        <v>428734.70999999996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65630.960000000006</v>
      </c>
      <c r="H618" s="109">
        <f>SUM(G52)</f>
        <v>65630.959999999992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65751.509999999995</v>
      </c>
      <c r="H619" s="109">
        <f>SUM(H52)</f>
        <v>65751.509999999995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31.01</v>
      </c>
      <c r="H620" s="109">
        <f>SUM(I52)</f>
        <v>31.009999999999998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321827.99</v>
      </c>
      <c r="H621" s="109">
        <f>SUM(J52)</f>
        <v>321827.99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113576.31</v>
      </c>
      <c r="H622" s="109">
        <f>F476</f>
        <v>113576.30999999493</v>
      </c>
      <c r="I622" s="121" t="s">
        <v>101</v>
      </c>
      <c r="J622" s="109">
        <f t="shared" ref="J622:J655" si="51">G622-H622</f>
        <v>5.0640664994716644E-9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40612.32</v>
      </c>
      <c r="H623" s="109">
        <f>G476</f>
        <v>40612.319999999949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31.009999999999998</v>
      </c>
      <c r="H625" s="109">
        <f>I476</f>
        <v>31.009999999999998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198699.12</v>
      </c>
      <c r="H626" s="109">
        <f>J476</f>
        <v>198699.12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23511024.149999999</v>
      </c>
      <c r="H627" s="104">
        <f>SUM(F468)</f>
        <v>23511024.149999999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397781.83999999997</v>
      </c>
      <c r="H628" s="104">
        <f>SUM(G468)</f>
        <v>397781.83999999997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378978.92</v>
      </c>
      <c r="H629" s="104">
        <f>SUM(H468)</f>
        <v>378978.92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0.02</v>
      </c>
      <c r="H630" s="104">
        <f>SUM(I468)</f>
        <v>0.02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52871.1</v>
      </c>
      <c r="H631" s="104">
        <f>SUM(J468)</f>
        <v>52871.1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23666714.580000002</v>
      </c>
      <c r="H632" s="104">
        <f>SUM(F472)</f>
        <v>23666714.580000002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378978.92000000004</v>
      </c>
      <c r="H633" s="104">
        <f>SUM(H472)</f>
        <v>378978.92000000004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116373.42</v>
      </c>
      <c r="H634" s="104">
        <f>I369</f>
        <v>116373.42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357169.52</v>
      </c>
      <c r="H635" s="104">
        <f>SUM(G472)</f>
        <v>357169.52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52871.1</v>
      </c>
      <c r="H637" s="164">
        <f>SUM(J468)</f>
        <v>52871.1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2039.98</v>
      </c>
      <c r="H638" s="164">
        <f>SUM(J472)</f>
        <v>2039.98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198699.12</v>
      </c>
      <c r="H640" s="104">
        <f>SUM(G461)</f>
        <v>198699.12</v>
      </c>
      <c r="I640" s="140" t="s">
        <v>857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123128.87</v>
      </c>
      <c r="H641" s="104">
        <f>SUM(H461)</f>
        <v>123128.87</v>
      </c>
      <c r="I641" s="140" t="s">
        <v>858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321827.99</v>
      </c>
      <c r="H642" s="104">
        <f>SUM(I461)</f>
        <v>321827.99</v>
      </c>
      <c r="I642" s="140" t="s">
        <v>859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831.12</v>
      </c>
      <c r="H644" s="104">
        <f>H408</f>
        <v>831.12</v>
      </c>
      <c r="I644" s="140" t="s">
        <v>480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50000</v>
      </c>
      <c r="H645" s="104">
        <f>G408</f>
        <v>50000</v>
      </c>
      <c r="I645" s="140" t="s">
        <v>481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52871.1</v>
      </c>
      <c r="H646" s="104">
        <f>L408</f>
        <v>52871.1</v>
      </c>
      <c r="I646" s="140" t="s">
        <v>477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857400.27000000014</v>
      </c>
      <c r="H647" s="104">
        <f>L208+L226+L244</f>
        <v>857400.27</v>
      </c>
      <c r="I647" s="140" t="s">
        <v>396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346847.92000000004</v>
      </c>
      <c r="H648" s="104">
        <f>(J257+J338)-(J255+J336)</f>
        <v>346847.91999999993</v>
      </c>
      <c r="I648" s="140" t="s">
        <v>702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526889.75</v>
      </c>
      <c r="H649" s="104">
        <f>H598</f>
        <v>526889.75</v>
      </c>
      <c r="I649" s="140" t="s">
        <v>388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330510.52</v>
      </c>
      <c r="H650" s="104">
        <f>I598</f>
        <v>330510.51999999996</v>
      </c>
      <c r="I650" s="140" t="s">
        <v>389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50000</v>
      </c>
      <c r="H655" s="104">
        <f>K266+K347</f>
        <v>50000</v>
      </c>
      <c r="I655" s="140" t="s">
        <v>400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12226772.189999999</v>
      </c>
      <c r="G660" s="19">
        <f>(L229+L309+L359)</f>
        <v>11593828.320000002</v>
      </c>
      <c r="H660" s="19">
        <f>(L247+L328+L360)</f>
        <v>0</v>
      </c>
      <c r="I660" s="19">
        <f>SUM(F660:H660)</f>
        <v>23820600.510000002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155381.39745357889</v>
      </c>
      <c r="G661" s="19">
        <f>(L359/IF(SUM(L358:L360)=0,1,SUM(L358:L360))*(SUM(G97:G110)))</f>
        <v>194332.84254642107</v>
      </c>
      <c r="H661" s="19">
        <f>(L360/IF(SUM(L358:L360)=0,1,SUM(L358:L360))*(SUM(G97:G110)))</f>
        <v>0</v>
      </c>
      <c r="I661" s="19">
        <f>SUM(F661:H661)</f>
        <v>349714.24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526889.75</v>
      </c>
      <c r="G662" s="19">
        <f>(L226+L306)-(J226+J306)</f>
        <v>330510.52</v>
      </c>
      <c r="H662" s="19">
        <f>(L244+L325)-(J244+J325)</f>
        <v>0</v>
      </c>
      <c r="I662" s="19">
        <f>SUM(F662:H662)</f>
        <v>857400.27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196355.17</v>
      </c>
      <c r="G663" s="199">
        <f>SUM(G575:G587)+SUM(I602:I604)+L612</f>
        <v>459791.2</v>
      </c>
      <c r="H663" s="199">
        <f>SUM(H575:H587)+SUM(J602:J604)+L613</f>
        <v>0</v>
      </c>
      <c r="I663" s="19">
        <f>SUM(F663:H663)</f>
        <v>656146.37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11348145.872546421</v>
      </c>
      <c r="G664" s="19">
        <f>G660-SUM(G661:G663)</f>
        <v>10609193.757453581</v>
      </c>
      <c r="H664" s="19">
        <f>H660-SUM(H661:H663)</f>
        <v>0</v>
      </c>
      <c r="I664" s="19">
        <f>I660-SUM(I661:I663)</f>
        <v>21957339.630000003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598</v>
      </c>
      <c r="G665" s="248">
        <v>611.35</v>
      </c>
      <c r="H665" s="248"/>
      <c r="I665" s="19">
        <f>SUM(F665:H665)</f>
        <v>1209.3499999999999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18976.830000000002</v>
      </c>
      <c r="G667" s="19">
        <f>ROUND(G664/G665,2)</f>
        <v>17353.72</v>
      </c>
      <c r="H667" s="19" t="e">
        <f>ROUND(H664/H665,2)</f>
        <v>#DIV/0!</v>
      </c>
      <c r="I667" s="19">
        <f>ROUND(I664/I665,2)</f>
        <v>18156.32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18976.830000000002</v>
      </c>
      <c r="G672" s="19">
        <f>ROUND((G664+G669)/(G665+G670),2)</f>
        <v>17353.72</v>
      </c>
      <c r="H672" s="19" t="e">
        <f>ROUND((H664+H669)/(H665+H670),2)</f>
        <v>#DIV/0!</v>
      </c>
      <c r="I672" s="19">
        <f>ROUND((I664+I669)/(I665+I670),2)</f>
        <v>18156.32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Amherst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6433792.3099999996</v>
      </c>
      <c r="C9" s="229">
        <f>'DOE25'!G197+'DOE25'!G215+'DOE25'!G233+'DOE25'!G276+'DOE25'!G295+'DOE25'!G314</f>
        <v>3124782.23</v>
      </c>
    </row>
    <row r="10" spans="1:3" x14ac:dyDescent="0.2">
      <c r="A10" t="s">
        <v>778</v>
      </c>
      <c r="B10" s="240">
        <v>6162405.3600000003</v>
      </c>
      <c r="C10" s="240">
        <v>2992974.26</v>
      </c>
    </row>
    <row r="11" spans="1:3" x14ac:dyDescent="0.2">
      <c r="A11" t="s">
        <v>779</v>
      </c>
      <c r="B11" s="240">
        <v>114092.62</v>
      </c>
      <c r="C11" s="240">
        <v>55412.82</v>
      </c>
    </row>
    <row r="12" spans="1:3" x14ac:dyDescent="0.2">
      <c r="A12" t="s">
        <v>780</v>
      </c>
      <c r="B12" s="240">
        <f>149844.75+7449.58</f>
        <v>157294.32999999999</v>
      </c>
      <c r="C12" s="240">
        <v>76395.149999999994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6433792.3100000005</v>
      </c>
      <c r="C13" s="231">
        <f>SUM(C10:C12)</f>
        <v>3124782.2299999995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2474537.4</v>
      </c>
      <c r="C18" s="229">
        <f>'DOE25'!G198+'DOE25'!G216+'DOE25'!G234+'DOE25'!G277+'DOE25'!G296+'DOE25'!G315</f>
        <v>1493673.62</v>
      </c>
    </row>
    <row r="19" spans="1:3" x14ac:dyDescent="0.2">
      <c r="A19" t="s">
        <v>778</v>
      </c>
      <c r="B19" s="240">
        <v>1338888.98</v>
      </c>
      <c r="C19" s="240">
        <v>808176.57</v>
      </c>
    </row>
    <row r="20" spans="1:3" x14ac:dyDescent="0.2">
      <c r="A20" t="s">
        <v>779</v>
      </c>
      <c r="B20" s="240">
        <f>29982.54+1020772.67</f>
        <v>1050755.21</v>
      </c>
      <c r="C20" s="240">
        <v>634254.04</v>
      </c>
    </row>
    <row r="21" spans="1:3" x14ac:dyDescent="0.2">
      <c r="A21" t="s">
        <v>780</v>
      </c>
      <c r="B21" s="240">
        <f>7725.68+72069.02+5098.51</f>
        <v>84893.21</v>
      </c>
      <c r="C21" s="240">
        <v>51243.01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2474537.4</v>
      </c>
      <c r="C22" s="231">
        <f>SUM(C19:C21)</f>
        <v>1493673.6199999999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111439.15</v>
      </c>
      <c r="C36" s="235">
        <f>'DOE25'!G200+'DOE25'!G218+'DOE25'!G236+'DOE25'!G279+'DOE25'!G298+'DOE25'!G317</f>
        <v>18615.239999999998</v>
      </c>
    </row>
    <row r="37" spans="1:3" x14ac:dyDescent="0.2">
      <c r="A37" t="s">
        <v>778</v>
      </c>
      <c r="B37" s="240">
        <v>52164.99</v>
      </c>
      <c r="C37" s="240">
        <v>11524.11</v>
      </c>
    </row>
    <row r="38" spans="1:3" x14ac:dyDescent="0.2">
      <c r="A38" t="s">
        <v>779</v>
      </c>
      <c r="B38" s="240">
        <v>17533.66</v>
      </c>
      <c r="C38" s="240">
        <v>3303.19</v>
      </c>
    </row>
    <row r="39" spans="1:3" x14ac:dyDescent="0.2">
      <c r="A39" t="s">
        <v>780</v>
      </c>
      <c r="B39" s="240">
        <v>41740.5</v>
      </c>
      <c r="C39" s="240">
        <v>3787.94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111439.15</v>
      </c>
      <c r="C40" s="231">
        <f>SUM(C37:C39)</f>
        <v>18615.240000000002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K41" sqref="K4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Amherst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14376171.120000001</v>
      </c>
      <c r="D5" s="20">
        <f>SUM('DOE25'!L197:L200)+SUM('DOE25'!L215:L218)+SUM('DOE25'!L233:L236)-F5-G5</f>
        <v>14095162.470000001</v>
      </c>
      <c r="E5" s="243"/>
      <c r="F5" s="255">
        <f>SUM('DOE25'!J197:J200)+SUM('DOE25'!J215:J218)+SUM('DOE25'!J233:J236)</f>
        <v>275084.14999999997</v>
      </c>
      <c r="G5" s="53">
        <f>SUM('DOE25'!K197:K200)+SUM('DOE25'!K215:K218)+SUM('DOE25'!K233:K236)</f>
        <v>5924.5</v>
      </c>
      <c r="H5" s="259"/>
    </row>
    <row r="6" spans="1:9" x14ac:dyDescent="0.2">
      <c r="A6" s="32">
        <v>2100</v>
      </c>
      <c r="B6" t="s">
        <v>800</v>
      </c>
      <c r="C6" s="245">
        <f t="shared" si="0"/>
        <v>2801222.78</v>
      </c>
      <c r="D6" s="20">
        <f>'DOE25'!L202+'DOE25'!L220+'DOE25'!L238-F6-G6</f>
        <v>2801222.78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642718.76</v>
      </c>
      <c r="D7" s="20">
        <f>'DOE25'!L203+'DOE25'!L221+'DOE25'!L239-F7-G7</f>
        <v>642413.77</v>
      </c>
      <c r="E7" s="243"/>
      <c r="F7" s="255">
        <f>'DOE25'!J203+'DOE25'!J221+'DOE25'!J239</f>
        <v>304.99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1226977.3699999999</v>
      </c>
      <c r="D8" s="243"/>
      <c r="E8" s="20">
        <f>'DOE25'!L204+'DOE25'!L222+'DOE25'!L240-F8-G8-D9-D11</f>
        <v>1221028.6299999999</v>
      </c>
      <c r="F8" s="255">
        <f>'DOE25'!J204+'DOE25'!J222+'DOE25'!J240</f>
        <v>0</v>
      </c>
      <c r="G8" s="53">
        <f>'DOE25'!K204+'DOE25'!K222+'DOE25'!K240</f>
        <v>5948.74</v>
      </c>
      <c r="H8" s="259"/>
    </row>
    <row r="9" spans="1:9" x14ac:dyDescent="0.2">
      <c r="A9" s="32">
        <v>2310</v>
      </c>
      <c r="B9" t="s">
        <v>817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1288908.69</v>
      </c>
      <c r="D12" s="20">
        <f>'DOE25'!L205+'DOE25'!L223+'DOE25'!L241-F12-G12</f>
        <v>1272905.0899999999</v>
      </c>
      <c r="E12" s="243"/>
      <c r="F12" s="255">
        <f>'DOE25'!J205+'DOE25'!J223+'DOE25'!J241</f>
        <v>11834.599999999999</v>
      </c>
      <c r="G12" s="53">
        <f>'DOE25'!K205+'DOE25'!K223+'DOE25'!K241</f>
        <v>4169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496.06</v>
      </c>
      <c r="D13" s="243"/>
      <c r="E13" s="20">
        <f>'DOE25'!L206+'DOE25'!L224+'DOE25'!L242-F13-G13</f>
        <v>496.06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1490589.42</v>
      </c>
      <c r="D14" s="20">
        <f>'DOE25'!L207+'DOE25'!L225+'DOE25'!L243-F14-G14</f>
        <v>1483056.6099999999</v>
      </c>
      <c r="E14" s="243"/>
      <c r="F14" s="255">
        <f>'DOE25'!J207+'DOE25'!J225+'DOE25'!J243</f>
        <v>7391.8099999999995</v>
      </c>
      <c r="G14" s="53">
        <f>'DOE25'!K207+'DOE25'!K225+'DOE25'!K243</f>
        <v>141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857400.27</v>
      </c>
      <c r="D15" s="20">
        <f>'DOE25'!L208+'DOE25'!L226+'DOE25'!L244-F15-G15</f>
        <v>857400.27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399967.60000000003</v>
      </c>
      <c r="D16" s="243"/>
      <c r="E16" s="20">
        <f>'DOE25'!L209+'DOE25'!L227+'DOE25'!L245-F16-G16</f>
        <v>351643.33</v>
      </c>
      <c r="F16" s="255">
        <f>'DOE25'!J209+'DOE25'!J227+'DOE25'!J245</f>
        <v>48324.27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532262.51</v>
      </c>
      <c r="D25" s="243"/>
      <c r="E25" s="243"/>
      <c r="F25" s="258"/>
      <c r="G25" s="256"/>
      <c r="H25" s="257">
        <f>'DOE25'!L260+'DOE25'!L261+'DOE25'!L341+'DOE25'!L342</f>
        <v>532262.51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250731.90000000002</v>
      </c>
      <c r="D29" s="20">
        <f>'DOE25'!L358+'DOE25'!L359+'DOE25'!L360-'DOE25'!I367-F29-G29</f>
        <v>246911.90000000002</v>
      </c>
      <c r="E29" s="243"/>
      <c r="F29" s="255">
        <f>'DOE25'!J358+'DOE25'!J359+'DOE25'!J360</f>
        <v>3670</v>
      </c>
      <c r="G29" s="53">
        <f>'DOE25'!K358+'DOE25'!K359+'DOE25'!K360</f>
        <v>150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378978.92000000004</v>
      </c>
      <c r="D31" s="20">
        <f>'DOE25'!L290+'DOE25'!L309+'DOE25'!L328+'DOE25'!L333+'DOE25'!L334+'DOE25'!L335-F31-G31</f>
        <v>375070.82000000007</v>
      </c>
      <c r="E31" s="243"/>
      <c r="F31" s="255">
        <f>'DOE25'!J290+'DOE25'!J309+'DOE25'!J328+'DOE25'!J333+'DOE25'!J334+'DOE25'!J335</f>
        <v>3908.1000000000004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21774143.709999997</v>
      </c>
      <c r="E33" s="246">
        <f>SUM(E5:E31)</f>
        <v>1573168.02</v>
      </c>
      <c r="F33" s="246">
        <f>SUM(F5:F31)</f>
        <v>350517.91999999993</v>
      </c>
      <c r="G33" s="246">
        <f>SUM(G5:G31)</f>
        <v>16333.24</v>
      </c>
      <c r="H33" s="246">
        <f>SUM(H5:H31)</f>
        <v>532262.51</v>
      </c>
    </row>
    <row r="35" spans="2:8" ht="12" thickBot="1" x14ac:dyDescent="0.25">
      <c r="B35" s="253" t="s">
        <v>846</v>
      </c>
      <c r="D35" s="254">
        <f>E33</f>
        <v>1573168.02</v>
      </c>
      <c r="E35" s="249"/>
    </row>
    <row r="36" spans="2:8" ht="12" thickTop="1" x14ac:dyDescent="0.2">
      <c r="B36" t="s">
        <v>814</v>
      </c>
      <c r="D36" s="20">
        <f>D33</f>
        <v>21774143.709999997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N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Amherst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-606774.18000000005</v>
      </c>
      <c r="D8" s="95">
        <f>'DOE25'!G9</f>
        <v>0</v>
      </c>
      <c r="E8" s="95">
        <f>'DOE25'!H9</f>
        <v>0</v>
      </c>
      <c r="F8" s="95">
        <f>'DOE25'!I9</f>
        <v>31.01</v>
      </c>
      <c r="G8" s="95">
        <f>'DOE25'!J9</f>
        <v>123123.94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765515.45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11919.83</v>
      </c>
      <c r="D11" s="95">
        <f>'DOE25'!G12</f>
        <v>52408.31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254375.51</v>
      </c>
      <c r="D12" s="95">
        <f>'DOE25'!G13</f>
        <v>13216.8</v>
      </c>
      <c r="E12" s="95">
        <f>'DOE25'!H13</f>
        <v>65751.509999999995</v>
      </c>
      <c r="F12" s="95">
        <f>'DOE25'!I13</f>
        <v>0</v>
      </c>
      <c r="G12" s="95">
        <f>'DOE25'!J13</f>
        <v>198704.05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3698.1</v>
      </c>
      <c r="D13" s="95">
        <f>'DOE25'!G14</f>
        <v>5.85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428734.70999999985</v>
      </c>
      <c r="D18" s="41">
        <f>SUM(D8:D17)</f>
        <v>65630.960000000006</v>
      </c>
      <c r="E18" s="41">
        <f>SUM(E8:E17)</f>
        <v>65751.509999999995</v>
      </c>
      <c r="F18" s="41">
        <f>SUM(F8:F17)</f>
        <v>31.01</v>
      </c>
      <c r="G18" s="41">
        <f>SUM(G8:G17)</f>
        <v>321827.99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64323.21</v>
      </c>
      <c r="F21" s="95">
        <f>'DOE25'!I22</f>
        <v>0</v>
      </c>
      <c r="G21" s="95">
        <f>'DOE25'!J22</f>
        <v>4.93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33751.32</v>
      </c>
      <c r="D22" s="95">
        <f>'DOE25'!G23</f>
        <v>5594.87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201991.09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41664.31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31248.62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6503.06</v>
      </c>
      <c r="D29" s="95">
        <f>'DOE25'!G30</f>
        <v>19423.77</v>
      </c>
      <c r="E29" s="95">
        <f>'DOE25'!H30</f>
        <v>1428.3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123123.94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315158.39999999997</v>
      </c>
      <c r="D31" s="41">
        <f>SUM(D21:D30)</f>
        <v>25018.639999999999</v>
      </c>
      <c r="E31" s="41">
        <f>SUM(E21:E30)</f>
        <v>65751.509999999995</v>
      </c>
      <c r="F31" s="41">
        <f>SUM(F21:F30)</f>
        <v>0</v>
      </c>
      <c r="G31" s="41">
        <f>SUM(G21:G30)</f>
        <v>123128.87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40612.32</v>
      </c>
      <c r="E47" s="95">
        <f>'DOE25'!H48</f>
        <v>0</v>
      </c>
      <c r="F47" s="95">
        <f>'DOE25'!I48</f>
        <v>31.009999999999998</v>
      </c>
      <c r="G47" s="95">
        <f>'DOE25'!J48</f>
        <v>198699.12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63576.310000000005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113576.31</v>
      </c>
      <c r="D50" s="41">
        <f>SUM(D34:D49)</f>
        <v>40612.32</v>
      </c>
      <c r="E50" s="41">
        <f>SUM(E34:E49)</f>
        <v>0</v>
      </c>
      <c r="F50" s="41">
        <f>SUM(F34:F49)</f>
        <v>31.009999999999998</v>
      </c>
      <c r="G50" s="41">
        <f>SUM(G34:G49)</f>
        <v>198699.12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428734.70999999996</v>
      </c>
      <c r="D51" s="41">
        <f>D50+D31</f>
        <v>65630.959999999992</v>
      </c>
      <c r="E51" s="41">
        <f>E50+E31</f>
        <v>65751.509999999995</v>
      </c>
      <c r="F51" s="41">
        <f>F50+F31</f>
        <v>31.009999999999998</v>
      </c>
      <c r="G51" s="41">
        <f>G50+G31</f>
        <v>321827.99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17399384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983167.16999999993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5065.8599999999997</v>
      </c>
      <c r="D59" s="95">
        <f>'DOE25'!G96</f>
        <v>0</v>
      </c>
      <c r="E59" s="95">
        <f>'DOE25'!H96</f>
        <v>0</v>
      </c>
      <c r="F59" s="95">
        <f>'DOE25'!I96</f>
        <v>0.02</v>
      </c>
      <c r="G59" s="95">
        <f>'DOE25'!J96</f>
        <v>831.12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349022.3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47008.160000000003</v>
      </c>
      <c r="D61" s="95">
        <f>SUM('DOE25'!G98:G110)</f>
        <v>691.94</v>
      </c>
      <c r="E61" s="95">
        <f>SUM('DOE25'!H98:H110)</f>
        <v>1776.7</v>
      </c>
      <c r="F61" s="95">
        <f>SUM('DOE25'!I98:I110)</f>
        <v>0</v>
      </c>
      <c r="G61" s="95">
        <f>SUM('DOE25'!J98:J110)</f>
        <v>2039.98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1035241.19</v>
      </c>
      <c r="D62" s="130">
        <f>SUM(D57:D61)</f>
        <v>349714.24</v>
      </c>
      <c r="E62" s="130">
        <f>SUM(E57:E61)</f>
        <v>1776.7</v>
      </c>
      <c r="F62" s="130">
        <f>SUM(F57:F61)</f>
        <v>0.02</v>
      </c>
      <c r="G62" s="130">
        <f>SUM(G57:G61)</f>
        <v>2871.1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18434625.190000001</v>
      </c>
      <c r="D63" s="22">
        <f>D56+D62</f>
        <v>349714.24</v>
      </c>
      <c r="E63" s="22">
        <f>E56+E62</f>
        <v>1776.7</v>
      </c>
      <c r="F63" s="22">
        <f>F56+F62</f>
        <v>0.02</v>
      </c>
      <c r="G63" s="22">
        <f>G56+G62</f>
        <v>2871.1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2080689.76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2306831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1915.86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4389436.62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143915.70000000001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297122.09999999998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3604.16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441037.8</v>
      </c>
      <c r="D78" s="130">
        <f>SUM(D72:D77)</f>
        <v>3604.16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4830474.42</v>
      </c>
      <c r="D81" s="130">
        <f>SUM(D79:D80)+D78+D70</f>
        <v>3604.16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245924.54</v>
      </c>
      <c r="D88" s="95">
        <f>SUM('DOE25'!G153:G161)</f>
        <v>44463.44</v>
      </c>
      <c r="E88" s="95">
        <f>SUM('DOE25'!H153:H161)</f>
        <v>377202.22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245924.54</v>
      </c>
      <c r="D91" s="131">
        <f>SUM(D85:D90)</f>
        <v>44463.44</v>
      </c>
      <c r="E91" s="131">
        <f>SUM(E85:E90)</f>
        <v>377202.22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764</v>
      </c>
      <c r="C104" s="86">
        <f>C63+C81+C91+C103</f>
        <v>23511024.149999999</v>
      </c>
      <c r="D104" s="86">
        <f>D63+D81+D91+D103</f>
        <v>397781.83999999997</v>
      </c>
      <c r="E104" s="86">
        <f>E63+E81+E91+E103</f>
        <v>378978.92</v>
      </c>
      <c r="F104" s="86">
        <f>F63+F81+F91+F103</f>
        <v>0.02</v>
      </c>
      <c r="G104" s="86">
        <f>G63+G81+G103</f>
        <v>52871.1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10108352.789999999</v>
      </c>
      <c r="D109" s="24" t="s">
        <v>288</v>
      </c>
      <c r="E109" s="95">
        <f>('DOE25'!L276)+('DOE25'!L295)+('DOE25'!L314)</f>
        <v>39845.710000000006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4117020.7300000004</v>
      </c>
      <c r="D110" s="24" t="s">
        <v>288</v>
      </c>
      <c r="E110" s="95">
        <f>('DOE25'!L277)+('DOE25'!L296)+('DOE25'!L315)</f>
        <v>230161.71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150797.59999999998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14376171.119999999</v>
      </c>
      <c r="D115" s="86">
        <f>SUM(D109:D114)</f>
        <v>0</v>
      </c>
      <c r="E115" s="86">
        <f>SUM(E109:E114)</f>
        <v>270007.42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2801222.78</v>
      </c>
      <c r="D118" s="24" t="s">
        <v>288</v>
      </c>
      <c r="E118" s="95">
        <f>+('DOE25'!L281)+('DOE25'!L300)+('DOE25'!L319)</f>
        <v>22367.65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642718.76</v>
      </c>
      <c r="D119" s="24" t="s">
        <v>288</v>
      </c>
      <c r="E119" s="95">
        <f>+('DOE25'!L282)+('DOE25'!L301)+('DOE25'!L320)</f>
        <v>73098.14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1226977.3699999999</v>
      </c>
      <c r="D120" s="24" t="s">
        <v>288</v>
      </c>
      <c r="E120" s="95">
        <f>+('DOE25'!L283)+('DOE25'!L302)+('DOE25'!L321)</f>
        <v>199.86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1288908.69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496.06</v>
      </c>
      <c r="D122" s="24" t="s">
        <v>288</v>
      </c>
      <c r="E122" s="95">
        <f>+('DOE25'!L285)+('DOE25'!L304)+('DOE25'!L323)</f>
        <v>12500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1490589.42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857400.27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399967.60000000003</v>
      </c>
      <c r="D125" s="24" t="s">
        <v>288</v>
      </c>
      <c r="E125" s="95">
        <f>+('DOE25'!L288)+('DOE25'!L307)+('DOE25'!L326)</f>
        <v>805.85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357169.52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8708280.9499999993</v>
      </c>
      <c r="D128" s="86">
        <f>SUM(D118:D127)</f>
        <v>357169.52</v>
      </c>
      <c r="E128" s="86">
        <f>SUM(E118:E127)</f>
        <v>108971.50000000001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390000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142262.51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50831.119999999995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2039.98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-2871.0999999999985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582262.51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23666714.580000002</v>
      </c>
      <c r="D145" s="86">
        <f>(D115+D128+D144)</f>
        <v>357169.52</v>
      </c>
      <c r="E145" s="86">
        <f>(E115+E128+E144)</f>
        <v>378978.92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12/11</v>
      </c>
      <c r="C152" s="152" t="str">
        <f>'DOE25'!G491</f>
        <v>7/8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7/21</v>
      </c>
      <c r="C153" s="152" t="str">
        <f>'DOE25'!G492</f>
        <v>8/28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1717000</v>
      </c>
      <c r="C154" s="137">
        <f>'DOE25'!G493</f>
        <v>3883620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1.62</v>
      </c>
      <c r="C155" s="137">
        <f>'DOE25'!G494</f>
        <v>4.24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1105000</v>
      </c>
      <c r="C156" s="137">
        <f>'DOE25'!G495</f>
        <v>2520000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3625000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195000</v>
      </c>
      <c r="C158" s="137">
        <f>'DOE25'!G497</f>
        <v>195000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390000</v>
      </c>
    </row>
    <row r="159" spans="1:9" x14ac:dyDescent="0.2">
      <c r="A159" s="22" t="s">
        <v>35</v>
      </c>
      <c r="B159" s="137">
        <f>'DOE25'!F498</f>
        <v>910000</v>
      </c>
      <c r="C159" s="137">
        <f>'DOE25'!G498</f>
        <v>2325000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3235000</v>
      </c>
    </row>
    <row r="160" spans="1:9" x14ac:dyDescent="0.2">
      <c r="A160" s="22" t="s">
        <v>36</v>
      </c>
      <c r="B160" s="137">
        <f>'DOE25'!F499</f>
        <v>71700</v>
      </c>
      <c r="C160" s="137">
        <f>'DOE25'!G499</f>
        <v>469694.69999999995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541394.69999999995</v>
      </c>
    </row>
    <row r="161" spans="1:7" x14ac:dyDescent="0.2">
      <c r="A161" s="22" t="s">
        <v>37</v>
      </c>
      <c r="B161" s="137">
        <f>'DOE25'!F500</f>
        <v>981700</v>
      </c>
      <c r="C161" s="137">
        <f>'DOE25'!G500</f>
        <v>2794694.7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3776394.7</v>
      </c>
    </row>
    <row r="162" spans="1:7" x14ac:dyDescent="0.2">
      <c r="A162" s="22" t="s">
        <v>38</v>
      </c>
      <c r="B162" s="137">
        <f>'DOE25'!F501</f>
        <v>190000</v>
      </c>
      <c r="C162" s="137">
        <f>'DOE25'!G501</f>
        <v>195000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385000</v>
      </c>
    </row>
    <row r="163" spans="1:7" x14ac:dyDescent="0.2">
      <c r="A163" s="22" t="s">
        <v>39</v>
      </c>
      <c r="B163" s="137">
        <f>'DOE25'!F502</f>
        <v>26250</v>
      </c>
      <c r="C163" s="137">
        <f>'DOE25'!G502</f>
        <v>93124.01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119374.01</v>
      </c>
    </row>
    <row r="164" spans="1:7" x14ac:dyDescent="0.2">
      <c r="A164" s="22" t="s">
        <v>246</v>
      </c>
      <c r="B164" s="137">
        <f>'DOE25'!F503</f>
        <v>216250</v>
      </c>
      <c r="C164" s="137">
        <f>'DOE25'!G503</f>
        <v>288124.01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504374.01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Amherst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18977</v>
      </c>
    </row>
    <row r="5" spans="1:4" x14ac:dyDescent="0.2">
      <c r="B5" t="s">
        <v>703</v>
      </c>
      <c r="C5" s="179">
        <f>IF('DOE25'!G665+'DOE25'!G670=0,0,ROUND('DOE25'!G672,0))</f>
        <v>17354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18156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10148199</v>
      </c>
      <c r="D10" s="182">
        <f>ROUND((C10/$C$28)*100,1)</f>
        <v>43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4347182</v>
      </c>
      <c r="D11" s="182">
        <f>ROUND((C11/$C$28)*100,1)</f>
        <v>18.399999999999999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150798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2823590</v>
      </c>
      <c r="D15" s="182">
        <f t="shared" ref="D15:D27" si="0">ROUND((C15/$C$28)*100,1)</f>
        <v>12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715817</v>
      </c>
      <c r="D16" s="182">
        <f t="shared" si="0"/>
        <v>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1627951</v>
      </c>
      <c r="D17" s="182">
        <f t="shared" si="0"/>
        <v>6.9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1288909</v>
      </c>
      <c r="D18" s="182">
        <f t="shared" si="0"/>
        <v>5.5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12996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1490589</v>
      </c>
      <c r="D20" s="182">
        <f t="shared" si="0"/>
        <v>6.3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857400</v>
      </c>
      <c r="D21" s="182">
        <f t="shared" si="0"/>
        <v>3.6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142263</v>
      </c>
      <c r="D25" s="182">
        <f t="shared" si="0"/>
        <v>0.6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7455.7600000000093</v>
      </c>
      <c r="D27" s="182">
        <f t="shared" si="0"/>
        <v>0</v>
      </c>
    </row>
    <row r="28" spans="1:4" x14ac:dyDescent="0.2">
      <c r="B28" s="187" t="s">
        <v>722</v>
      </c>
      <c r="C28" s="180">
        <f>SUM(C10:C27)</f>
        <v>23613149.760000002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23613149.760000002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390000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17399384</v>
      </c>
      <c r="D35" s="182">
        <f t="shared" ref="D35:D40" si="1">ROUND((C35/$C$41)*100,1)</f>
        <v>72.7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1039889.0100000016</v>
      </c>
      <c r="D36" s="182">
        <f t="shared" si="1"/>
        <v>4.3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4387521</v>
      </c>
      <c r="D37" s="182">
        <f t="shared" si="1"/>
        <v>18.3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446558</v>
      </c>
      <c r="D38" s="182">
        <f t="shared" si="1"/>
        <v>1.9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667590</v>
      </c>
      <c r="D39" s="182">
        <f t="shared" si="1"/>
        <v>2.8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23940942.010000002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B48" sqref="B4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Amherst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2017-08-28T12:11:44Z</cp:lastPrinted>
  <dcterms:created xsi:type="dcterms:W3CDTF">1997-12-04T19:04:30Z</dcterms:created>
  <dcterms:modified xsi:type="dcterms:W3CDTF">2017-11-27T15:44:29Z</dcterms:modified>
</cp:coreProperties>
</file>