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18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3">'MS-25'!$A$3:$G$164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L222" i="1"/>
  <c r="L240" i="1"/>
  <c r="D39" i="13"/>
  <c r="F13" i="13"/>
  <c r="G13" i="13"/>
  <c r="L206" i="1"/>
  <c r="E13" i="13" s="1"/>
  <c r="C13" i="13" s="1"/>
  <c r="L224" i="1"/>
  <c r="L242" i="1"/>
  <c r="F16" i="13"/>
  <c r="G16" i="13"/>
  <c r="L209" i="1"/>
  <c r="L227" i="1"/>
  <c r="L245" i="1"/>
  <c r="G5" i="13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J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C16" i="10" s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1" i="2"/>
  <c r="E122" i="2"/>
  <c r="C123" i="2"/>
  <c r="E123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I257" i="1" s="1"/>
  <c r="I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I461" i="1" s="1"/>
  <c r="H642" i="1" s="1"/>
  <c r="F461" i="1"/>
  <c r="F470" i="1"/>
  <c r="G470" i="1"/>
  <c r="G476" i="1" s="1"/>
  <c r="H623" i="1" s="1"/>
  <c r="H470" i="1"/>
  <c r="I470" i="1"/>
  <c r="J470" i="1"/>
  <c r="J476" i="1" s="1"/>
  <c r="H626" i="1" s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G642" i="1"/>
  <c r="G643" i="1"/>
  <c r="J643" i="1" s="1"/>
  <c r="H643" i="1"/>
  <c r="G644" i="1"/>
  <c r="G649" i="1"/>
  <c r="G650" i="1"/>
  <c r="G652" i="1"/>
  <c r="H652" i="1"/>
  <c r="G653" i="1"/>
  <c r="H653" i="1"/>
  <c r="G654" i="1"/>
  <c r="H654" i="1"/>
  <c r="H655" i="1"/>
  <c r="J655" i="1" s="1"/>
  <c r="C26" i="10"/>
  <c r="L328" i="1"/>
  <c r="L351" i="1"/>
  <c r="A31" i="12"/>
  <c r="C70" i="2"/>
  <c r="D18" i="13"/>
  <c r="C18" i="13" s="1"/>
  <c r="D7" i="13"/>
  <c r="C7" i="13" s="1"/>
  <c r="D18" i="2"/>
  <c r="D17" i="13"/>
  <c r="C17" i="13" s="1"/>
  <c r="D6" i="13"/>
  <c r="C6" i="13" s="1"/>
  <c r="F78" i="2"/>
  <c r="F81" i="2" s="1"/>
  <c r="D31" i="2"/>
  <c r="C78" i="2"/>
  <c r="F18" i="2"/>
  <c r="E115" i="2"/>
  <c r="E103" i="2"/>
  <c r="D91" i="2"/>
  <c r="E62" i="2"/>
  <c r="E63" i="2" s="1"/>
  <c r="G62" i="2"/>
  <c r="D19" i="13"/>
  <c r="C19" i="13" s="1"/>
  <c r="D14" i="13"/>
  <c r="C14" i="13" s="1"/>
  <c r="E78" i="2"/>
  <c r="E81" i="2" s="1"/>
  <c r="H112" i="1"/>
  <c r="F112" i="1"/>
  <c r="J639" i="1"/>
  <c r="L433" i="1"/>
  <c r="D81" i="2"/>
  <c r="I169" i="1"/>
  <c r="H169" i="1"/>
  <c r="G552" i="1"/>
  <c r="I476" i="1"/>
  <c r="H625" i="1" s="1"/>
  <c r="J625" i="1" s="1"/>
  <c r="F169" i="1"/>
  <c r="J140" i="1"/>
  <c r="F571" i="1"/>
  <c r="I552" i="1"/>
  <c r="K549" i="1"/>
  <c r="K550" i="1"/>
  <c r="G22" i="2"/>
  <c r="K545" i="1"/>
  <c r="H552" i="1"/>
  <c r="C29" i="10"/>
  <c r="H140" i="1"/>
  <c r="L393" i="1"/>
  <c r="C138" i="2" s="1"/>
  <c r="F22" i="13"/>
  <c r="H25" i="13"/>
  <c r="C25" i="13" s="1"/>
  <c r="H571" i="1"/>
  <c r="J545" i="1"/>
  <c r="G192" i="1"/>
  <c r="H192" i="1"/>
  <c r="C35" i="10"/>
  <c r="L309" i="1"/>
  <c r="E16" i="13"/>
  <c r="J636" i="1"/>
  <c r="G36" i="2"/>
  <c r="L565" i="1"/>
  <c r="C22" i="13"/>
  <c r="C16" i="13"/>
  <c r="A40" i="12" l="1"/>
  <c r="H545" i="1"/>
  <c r="K551" i="1"/>
  <c r="L524" i="1"/>
  <c r="L544" i="1"/>
  <c r="L545" i="1" s="1"/>
  <c r="J552" i="1"/>
  <c r="K598" i="1"/>
  <c r="G647" i="1" s="1"/>
  <c r="J649" i="1"/>
  <c r="C124" i="2"/>
  <c r="L247" i="1"/>
  <c r="H52" i="1"/>
  <c r="H619" i="1" s="1"/>
  <c r="E31" i="2"/>
  <c r="J622" i="1"/>
  <c r="J617" i="1"/>
  <c r="D50" i="2"/>
  <c r="D51" i="2" s="1"/>
  <c r="H476" i="1"/>
  <c r="H624" i="1" s="1"/>
  <c r="G164" i="2"/>
  <c r="G161" i="2"/>
  <c r="G156" i="2"/>
  <c r="H408" i="1"/>
  <c r="H644" i="1" s="1"/>
  <c r="J644" i="1" s="1"/>
  <c r="G645" i="1"/>
  <c r="J645" i="1" s="1"/>
  <c r="J640" i="1"/>
  <c r="L401" i="1"/>
  <c r="C139" i="2" s="1"/>
  <c r="I408" i="1"/>
  <c r="J634" i="1"/>
  <c r="J623" i="1"/>
  <c r="J338" i="1"/>
  <c r="J352" i="1" s="1"/>
  <c r="L290" i="1"/>
  <c r="L338" i="1" s="1"/>
  <c r="L352" i="1" s="1"/>
  <c r="G633" i="1" s="1"/>
  <c r="J633" i="1" s="1"/>
  <c r="F662" i="1"/>
  <c r="C21" i="10"/>
  <c r="E120" i="2"/>
  <c r="E128" i="2" s="1"/>
  <c r="E145" i="2" s="1"/>
  <c r="C17" i="10"/>
  <c r="H661" i="1"/>
  <c r="D127" i="2"/>
  <c r="D128" i="2" s="1"/>
  <c r="D145" i="2" s="1"/>
  <c r="G661" i="1"/>
  <c r="L362" i="1"/>
  <c r="C27" i="10" s="1"/>
  <c r="D29" i="13"/>
  <c r="C29" i="13" s="1"/>
  <c r="C81" i="2"/>
  <c r="C62" i="2"/>
  <c r="C63" i="2" s="1"/>
  <c r="H33" i="13"/>
  <c r="L256" i="1"/>
  <c r="H257" i="1"/>
  <c r="H271" i="1" s="1"/>
  <c r="D15" i="13"/>
  <c r="C15" i="13" s="1"/>
  <c r="H647" i="1"/>
  <c r="H662" i="1"/>
  <c r="I662" i="1"/>
  <c r="H660" i="1"/>
  <c r="C19" i="10"/>
  <c r="C122" i="2"/>
  <c r="K257" i="1"/>
  <c r="K271" i="1" s="1"/>
  <c r="G257" i="1"/>
  <c r="G271" i="1" s="1"/>
  <c r="C18" i="10"/>
  <c r="C121" i="2"/>
  <c r="C128" i="2" s="1"/>
  <c r="J641" i="1"/>
  <c r="G624" i="1"/>
  <c r="J624" i="1" s="1"/>
  <c r="K500" i="1"/>
  <c r="G112" i="1"/>
  <c r="C36" i="10" s="1"/>
  <c r="K552" i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J647" i="1" l="1"/>
  <c r="E51" i="2"/>
  <c r="G667" i="1"/>
  <c r="C141" i="2"/>
  <c r="C144" i="2" s="1"/>
  <c r="L408" i="1"/>
  <c r="G637" i="1" s="1"/>
  <c r="J637" i="1" s="1"/>
  <c r="G104" i="2"/>
  <c r="C104" i="2"/>
  <c r="I661" i="1"/>
  <c r="G635" i="1"/>
  <c r="J635" i="1" s="1"/>
  <c r="H664" i="1"/>
  <c r="H667" i="1" s="1"/>
  <c r="D31" i="13"/>
  <c r="C31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72" i="1"/>
  <c r="C6" i="10" s="1"/>
  <c r="C41" i="10"/>
  <c r="D38" i="10" s="1"/>
  <c r="D37" i="10" l="1"/>
  <c r="D36" i="10"/>
  <c r="D35" i="10"/>
  <c r="D40" i="10"/>
  <c r="D39" i="10"/>
  <c r="D41" i="10" l="1"/>
  <c r="F5" i="13"/>
  <c r="F33" i="13" s="1"/>
  <c r="L197" i="1"/>
  <c r="C109" i="2" s="1"/>
  <c r="C115" i="2" s="1"/>
  <c r="C145" i="2" s="1"/>
  <c r="J211" i="1"/>
  <c r="J257" i="1" s="1"/>
  <c r="J271" i="1" l="1"/>
  <c r="H648" i="1"/>
  <c r="J648" i="1" s="1"/>
  <c r="C10" i="10"/>
  <c r="D5" i="13"/>
  <c r="L211" i="1"/>
  <c r="L257" i="1" l="1"/>
  <c r="L271" i="1" s="1"/>
  <c r="G632" i="1" s="1"/>
  <c r="F660" i="1"/>
  <c r="D33" i="13"/>
  <c r="D36" i="13" s="1"/>
  <c r="C5" i="13"/>
  <c r="C28" i="10"/>
  <c r="D20" i="10" l="1"/>
  <c r="D24" i="10"/>
  <c r="D16" i="10"/>
  <c r="D25" i="10"/>
  <c r="D11" i="10"/>
  <c r="D12" i="10"/>
  <c r="D27" i="10"/>
  <c r="D19" i="10"/>
  <c r="D15" i="10"/>
  <c r="D22" i="10"/>
  <c r="D17" i="10"/>
  <c r="D18" i="10"/>
  <c r="D23" i="10"/>
  <c r="D21" i="10"/>
  <c r="D13" i="10"/>
  <c r="D26" i="10"/>
  <c r="C30" i="10"/>
  <c r="F664" i="1"/>
  <c r="I660" i="1"/>
  <c r="I664" i="1" s="1"/>
  <c r="D10" i="10"/>
  <c r="J632" i="1"/>
  <c r="H656" i="1"/>
  <c r="D28" i="10" l="1"/>
  <c r="I672" i="1"/>
  <c r="C7" i="10" s="1"/>
  <c r="I667" i="1"/>
  <c r="F667" i="1"/>
  <c r="F672" i="1"/>
  <c r="C4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<sst xmlns="http://schemas.openxmlformats.org/spreadsheetml/2006/main" count="3959" uniqueCount="917">
  <si>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</si>
  <si>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</si>
  <si>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</si>
  <si>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</si>
  <si>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</si>
  <si>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</si>
  <si>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</si>
  <si>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</si>
  <si>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</si>
  <si>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</si>
  <si>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</si>
  <si>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</si>
  <si>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</si>
  <si>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</si>
  <si>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</si>
  <si>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</si>
  <si>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</si>
  <si>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</si>
  <si>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</si>
  <si>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</si>
  <si>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</si>
  <si>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</si>
  <si>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</si>
  <si>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</si>
  <si>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</si>
  <si>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</si>
  <si>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</si>
  <si>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</si>
  <si>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</si>
  <si>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</si>
  <si>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</si>
  <si>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</si>
  <si>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</si>
  <si>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</si>
  <si>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</si>
  <si>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</si>
  <si>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</si>
  <si>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</si>
  <si>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</si>
  <si>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</si>
  <si>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</si>
  <si>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</si>
  <si>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</si>
  <si>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</si>
  <si>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</si>
  <si>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</si>
  <si>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</si>
  <si>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</si>
  <si>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</si>
  <si>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</si>
  <si>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</si>
  <si>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</si>
  <si>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</si>
  <si>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</si>
  <si>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</si>
  <si>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</si>
  <si>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</si>
  <si>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</si>
  <si>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</si>
  <si>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</si>
  <si>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</si>
  <si>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</si>
  <si>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</si>
  <si>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</si>
  <si>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</si>
  <si>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</si>
  <si>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</si>
  <si>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</si>
  <si>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</si>
  <si>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</si>
  <si>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</si>
  <si>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</si>
  <si>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</si>
  <si>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</si>
  <si>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</si>
  <si>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</si>
  <si>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</si>
  <si>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</si>
  <si>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</si>
  <si>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</si>
  <si>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</si>
  <si>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</si>
  <si>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</si>
  <si>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</si>
  <si>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</si>
  <si>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</si>
  <si>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</si>
  <si>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</si>
  <si>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</si>
  <si>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</si>
  <si>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</si>
  <si>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</si>
  <si>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</si>
  <si>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</si>
  <si>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</si>
  <si>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</si>
  <si>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</si>
  <si>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</si>
  <si>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</si>
  <si>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</si>
  <si>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</si>
  <si>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</si>
  <si>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</si>
  <si>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</si>
  <si>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</si>
  <si>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</si>
  <si>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</si>
  <si>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</si>
  <si>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</si>
  <si>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</si>
  <si>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</si>
  <si>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</si>
  <si>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</si>
  <si>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</si>
  <si>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</si>
  <si>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</si>
  <si>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</si>
  <si>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</si>
  <si>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</si>
  <si>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</si>
  <si>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</si>
  <si>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</si>
  <si>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</si>
  <si>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</si>
  <si>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</si>
  <si>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</si>
  <si>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</si>
  <si>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</si>
  <si>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</si>
  <si>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</si>
  <si>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</si>
  <si>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</si>
  <si>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</si>
  <si>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</si>
  <si>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</si>
  <si>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</si>
  <si>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</si>
  <si>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</si>
  <si>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</si>
  <si>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</si>
  <si>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</si>
  <si>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</si>
  <si>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</si>
  <si>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</si>
  <si>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</si>
  <si>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</si>
  <si>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</si>
  <si>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</si>
  <si>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</si>
  <si>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</si>
  <si>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</si>
  <si>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</si>
  <si>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</si>
  <si>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</si>
  <si>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</si>
  <si>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</si>
  <si>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</si>
  <si>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</si>
  <si>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</si>
  <si>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</si>
  <si>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</si>
  <si>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</si>
  <si>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</si>
  <si>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</si>
  <si>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</si>
  <si>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</si>
  <si>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</si>
  <si>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</si>
  <si>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</si>
  <si>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</si>
  <si>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</si>
  <si>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</si>
  <si>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</si>
  <si>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</si>
  <si>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</si>
  <si>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</si>
  <si>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</si>
  <si>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</si>
  <si>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</si>
  <si>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</si>
  <si>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</si>
  <si>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</si>
  <si>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</si>
  <si>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</si>
  <si>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</si>
  <si>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</si>
  <si>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</si>
  <si>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</si>
  <si>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</si>
  <si>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</si>
  <si>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</si>
  <si>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</si>
  <si>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</si>
  <si>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</si>
  <si>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</si>
  <si>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</si>
  <si>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</si>
  <si>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</si>
  <si>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</si>
  <si>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</si>
  <si>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</si>
  <si>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</si>
  <si>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</si>
  <si>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</si>
  <si>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</si>
  <si>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</si>
  <si>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</si>
  <si>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</si>
  <si>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</si>
  <si>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</si>
  <si>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</si>
  <si>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</si>
  <si>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</si>
  <si>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</si>
  <si>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</si>
  <si>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</si>
  <si>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</si>
  <si>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</si>
  <si>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</si>
  <si>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</si>
  <si>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</si>
  <si>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</si>
  <si>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</si>
  <si>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</si>
  <si>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</si>
  <si>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</si>
  <si>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</si>
  <si>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</si>
  <si>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</si>
  <si>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</si>
  <si>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</si>
  <si>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</si>
  <si>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</si>
  <si>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</si>
  <si>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</si>
  <si>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</si>
  <si>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</si>
  <si>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</si>
  <si>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</si>
  <si>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</si>
  <si>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</si>
  <si>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</si>
  <si>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</si>
  <si>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</si>
  <si>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</si>
  <si>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</si>
  <si>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</si>
  <si>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</si>
  <si>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</si>
  <si>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</si>
  <si>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</si>
  <si>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</si>
  <si>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</si>
  <si>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</si>
  <si>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</si>
  <si>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</si>
  <si>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</si>
  <si>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</si>
  <si>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</si>
  <si>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</si>
  <si>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</si>
  <si>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</si>
  <si>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</si>
  <si>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</si>
  <si>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</si>
  <si>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</si>
  <si>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</si>
  <si>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</si>
  <si>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</si>
  <si>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</si>
  <si>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</si>
  <si>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</si>
  <si>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</si>
  <si>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</si>
  <si>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</si>
  <si>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</si>
  <si>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</si>
  <si>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</si>
  <si>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</si>
  <si>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</si>
  <si>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</si>
  <si>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</si>
  <si>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</si>
  <si>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</si>
  <si>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</si>
  <si>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</si>
  <si>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</si>
  <si>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</si>
  <si>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</si>
  <si>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</si>
  <si>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</si>
  <si>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</si>
  <si>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</si>
  <si>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</si>
  <si>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</si>
  <si>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</si>
  <si>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</si>
  <si>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</si>
  <si>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</si>
  <si>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</si>
  <si>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</si>
  <si>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</si>
  <si>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</si>
  <si>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</si>
  <si>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</si>
  <si>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</si>
  <si>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</si>
  <si>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</si>
  <si>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</si>
  <si>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</si>
  <si>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</si>
  <si>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</si>
  <si>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</si>
  <si>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</si>
  <si>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</si>
  <si>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</si>
  <si>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</si>
  <si>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</si>
  <si>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</si>
  <si>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</si>
  <si>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</si>
  <si>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</si>
  <si>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</si>
  <si>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</si>
  <si>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</si>
  <si>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</si>
  <si>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</si>
  <si>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</si>
  <si>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</si>
  <si>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</si>
  <si>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</si>
  <si>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</si>
  <si>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</si>
  <si>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</si>
  <si>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</si>
  <si>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</si>
  <si>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</si>
  <si>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</si>
  <si>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</si>
  <si>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</si>
  <si>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</si>
  <si>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</si>
  <si>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</si>
  <si>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</si>
  <si>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</si>
  <si>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</si>
  <si>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</si>
  <si>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</si>
  <si>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</si>
  <si>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</si>
  <si>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</si>
  <si>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</si>
  <si>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</si>
  <si>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</si>
  <si>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</si>
  <si>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</si>
  <si>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</si>
  <si>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</si>
  <si>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</si>
  <si>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</si>
  <si>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</si>
  <si>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</si>
  <si>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</si>
  <si>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</si>
  <si>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</si>
  <si>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</si>
  <si>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</si>
  <si>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</si>
  <si>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</si>
  <si>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</si>
  <si>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</si>
  <si>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</si>
  <si>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</si>
  <si>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</si>
  <si>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</si>
  <si>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</si>
  <si>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</si>
  <si>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</si>
  <si>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</si>
  <si>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</si>
  <si>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</si>
  <si>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</si>
  <si>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</si>
  <si>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</si>
  <si>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</si>
  <si>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</si>
  <si>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</si>
  <si>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</si>
  <si>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</si>
  <si>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</si>
  <si>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</si>
  <si>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</si>
  <si>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</si>
  <si>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</si>
  <si>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</si>
  <si>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</si>
  <si>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</si>
  <si>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</si>
  <si>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</si>
  <si>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</si>
  <si>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</si>
  <si>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</si>
  <si>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</si>
  <si>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</si>
  <si>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</si>
  <si>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</si>
  <si>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</si>
  <si>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</si>
  <si>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</si>
  <si>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</si>
  <si>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</si>
  <si>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</si>
  <si>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</si>
  <si>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</si>
  <si>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</si>
  <si>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</si>
  <si>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</si>
  <si>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</si>
  <si>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</si>
  <si>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</si>
  <si>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</si>
  <si>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</si>
  <si>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</si>
  <si>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</si>
  <si>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</si>
  <si>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</si>
  <si>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</si>
  <si>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</si>
  <si>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</si>
  <si>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</si>
  <si>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</si>
  <si>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</si>
  <si>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</si>
  <si>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</si>
  <si>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</si>
  <si>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</si>
  <si>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</si>
  <si>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</si>
  <si>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</si>
  <si>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</si>
  <si>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</si>
  <si>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</si>
  <si>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</si>
  <si>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</si>
  <si>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</si>
  <si>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</si>
  <si>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</si>
  <si>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</si>
  <si>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</si>
  <si>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</si>
  <si>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</si>
  <si>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</si>
  <si>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</si>
  <si>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</si>
  <si>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</si>
  <si>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</si>
  <si>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</si>
  <si>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</si>
  <si>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</si>
  <si>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</si>
  <si>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</si>
  <si>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</si>
  <si>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</si>
  <si>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</si>
  <si>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</si>
  <si>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</si>
  <si>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</si>
  <si>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</si>
  <si>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</si>
  <si>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</si>
  <si>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</si>
  <si>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</si>
  <si>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</si>
  <si>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</si>
  <si>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</si>
  <si>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</si>
  <si>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</si>
  <si>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</si>
  <si>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</si>
  <si>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</si>
  <si>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</si>
  <si>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</si>
  <si>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</si>
  <si>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</si>
  <si>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</si>
  <si>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</si>
  <si>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</si>
  <si>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</si>
  <si>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</si>
  <si>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</si>
  <si>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</si>
  <si>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</si>
  <si>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</si>
  <si>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</si>
  <si>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</si>
  <si>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</si>
  <si>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</si>
  <si>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</si>
  <si>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</si>
  <si>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</si>
  <si>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</si>
  <si>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</si>
  <si>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</si>
  <si>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</si>
  <si>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</si>
  <si>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</si>
  <si>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</si>
  <si>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</si>
  <si>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</si>
  <si>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</si>
  <si>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</si>
  <si>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</si>
  <si>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</si>
  <si>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</si>
  <si>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</si>
  <si>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</si>
  <si>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</si>
  <si>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</si>
  <si>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</si>
  <si>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</si>
  <si>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</si>
  <si>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</si>
  <si>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</si>
  <si>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</si>
  <si>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</si>
  <si>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</si>
  <si>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</si>
  <si>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</si>
  <si>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</si>
  <si>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</si>
  <si>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</si>
  <si>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</si>
  <si>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</si>
  <si>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</si>
  <si>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</si>
  <si>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</si>
  <si>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</si>
  <si>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</si>
  <si>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</si>
  <si>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</si>
  <si>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</si>
  <si>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</si>
  <si>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</si>
  <si>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</si>
  <si>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</si>
  <si>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</si>
  <si>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</si>
  <si>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</si>
  <si>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</si>
  <si>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</si>
  <si>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</si>
  <si>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</si>
  <si>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</si>
  <si>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</si>
  <si>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</si>
  <si>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</si>
  <si>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</si>
  <si>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</si>
  <si>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</si>
  <si>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</si>
  <si>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</si>
  <si>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</si>
  <si>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</si>
  <si>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</si>
  <si>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</si>
  <si>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</si>
  <si>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</si>
  <si>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</si>
  <si>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</si>
  <si>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</si>
  <si>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</si>
  <si>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</si>
  <si>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</si>
  <si>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</si>
  <si>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</si>
  <si>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</si>
  <si>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</si>
  <si>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</si>
  <si>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</si>
  <si>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</si>
  <si>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</si>
  <si>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</si>
  <si>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</si>
  <si>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</si>
  <si>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</si>
  <si>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</si>
  <si>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</si>
  <si>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</si>
  <si>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</si>
  <si>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</si>
  <si>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</si>
  <si>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</si>
  <si>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</si>
  <si>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</si>
  <si>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</si>
  <si>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</si>
  <si>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</si>
  <si>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</si>
  <si>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</si>
  <si>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</si>
  <si>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</si>
  <si>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</si>
  <si>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</si>
  <si>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</si>
  <si>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</si>
  <si>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</si>
  <si>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</si>
  <si>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</si>
  <si>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</si>
  <si>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</si>
  <si>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</si>
  <si>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</si>
  <si>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</si>
  <si>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</si>
  <si>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</si>
  <si>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</si>
  <si>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</si>
  <si>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</si>
  <si>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</si>
  <si>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</si>
  <si>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</si>
  <si>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</si>
  <si>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</si>
  <si>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</si>
  <si>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</si>
  <si>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</si>
  <si>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</si>
  <si>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</si>
  <si>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</si>
  <si>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</si>
  <si>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</si>
  <si>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</si>
  <si>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</si>
  <si>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</si>
  <si>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</si>
  <si>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</si>
  <si>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</si>
  <si>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</si>
  <si>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</si>
  <si>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</si>
  <si>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</si>
  <si>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</si>
  <si>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</si>
  <si>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</si>
  <si>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</si>
  <si>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</si>
  <si>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</si>
  <si>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</si>
  <si>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</si>
  <si>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</si>
  <si>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</si>
  <si>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</si>
  <si>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</si>
  <si>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</si>
  <si>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</si>
  <si>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</si>
  <si>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</si>
  <si>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</si>
  <si>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</si>
  <si>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</si>
  <si>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</si>
  <si>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</si>
  <si>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</si>
  <si>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</si>
  <si>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</si>
  <si>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</si>
  <si>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</si>
  <si>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</si>
  <si>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</si>
  <si>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</si>
  <si>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</si>
  <si>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</si>
  <si>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</si>
  <si>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</si>
  <si>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</si>
  <si>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</si>
  <si>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</si>
  <si>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</si>
  <si>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</si>
  <si>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</si>
  <si>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</si>
  <si>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</si>
  <si>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</si>
  <si>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</si>
  <si>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</si>
  <si>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</si>
  <si>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</si>
  <si>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</si>
  <si>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</si>
  <si>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</si>
  <si>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</si>
  <si>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</si>
  <si>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</si>
  <si>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</si>
  <si>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</si>
  <si>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</si>
  <si>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</si>
  <si>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</si>
  <si>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</si>
  <si>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</si>
  <si>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</si>
  <si>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</si>
  <si>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</si>
  <si>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</si>
  <si>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</si>
  <si>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</si>
  <si>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</si>
  <si>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</si>
  <si>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</si>
  <si>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</si>
  <si>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</si>
  <si>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</si>
  <si>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</si>
  <si>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</si>
  <si>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</si>
  <si>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</si>
  <si>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</si>
  <si>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</si>
  <si>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</si>
  <si>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</si>
  <si>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</si>
  <si>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</si>
  <si>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</si>
  <si>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</si>
  <si>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</si>
  <si>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</si>
  <si>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</si>
  <si>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</si>
  <si>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</si>
  <si>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</si>
  <si>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</si>
  <si>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</si>
  <si>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</si>
  <si>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</si>
  <si>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</si>
  <si>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</si>
  <si>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</si>
  <si>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</si>
  <si>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</si>
  <si>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</si>
  <si>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</si>
  <si>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</si>
  <si>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</si>
  <si>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</si>
  <si>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</si>
  <si>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</si>
  <si>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</si>
  <si>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</si>
  <si>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</si>
  <si>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</si>
  <si>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</si>
  <si>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</si>
  <si>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</si>
  <si>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</si>
  <si>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</si>
  <si>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</si>
  <si>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</si>
  <si>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</si>
  <si>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</si>
  <si>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</si>
  <si>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</si>
  <si>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</si>
  <si>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</si>
  <si>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</si>
  <si>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</si>
  <si>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</si>
  <si>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</si>
  <si>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</si>
  <si>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</si>
  <si>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</si>
  <si>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</si>
  <si>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</si>
  <si>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</si>
  <si>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</si>
  <si>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</si>
  <si>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</si>
  <si>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</si>
  <si>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</si>
  <si>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</si>
  <si>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</si>
  <si>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</si>
  <si>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</si>
  <si>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</si>
  <si>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</si>
  <si>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</si>
  <si>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</si>
  <si>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</si>
  <si>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</si>
  <si>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</si>
  <si>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</si>
  <si>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</si>
  <si>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</si>
  <si>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</si>
  <si>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</si>
  <si>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</si>
  <si>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</si>
  <si>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</si>
  <si>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</si>
  <si>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</si>
  <si>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</si>
  <si>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</si>
  <si>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</si>
  <si>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</si>
  <si>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</si>
  <si>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</si>
  <si>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</si>
  <si>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</si>
  <si>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</si>
  <si>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</si>
  <si>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</si>
  <si>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</si>
  <si>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</si>
  <si>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</si>
  <si>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</si>
  <si>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</si>
  <si>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</si>
  <si>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</si>
  <si>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</si>
  <si>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</si>
  <si>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</si>
  <si>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</si>
  <si>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</si>
  <si>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</si>
  <si>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</si>
  <si>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</si>
  <si>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</si>
  <si>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</si>
  <si>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</si>
  <si>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</si>
  <si>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</si>
  <si>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</si>
  <si>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</si>
  <si>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</si>
  <si>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</si>
  <si>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</si>
  <si>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</si>
  <si>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</si>
  <si>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</si>
  <si>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</si>
  <si>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</si>
  <si>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</si>
  <si>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</si>
  <si>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</si>
  <si>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</si>
  <si>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</si>
  <si>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</si>
  <si>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</si>
  <si>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</si>
  <si>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</si>
  <si>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</si>
  <si>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</si>
  <si>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</si>
  <si>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</si>
  <si>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</si>
  <si>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</si>
  <si>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</si>
  <si>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</si>
  <si>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</si>
  <si>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</si>
  <si>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</si>
  <si>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</si>
  <si>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</si>
  <si>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</si>
  <si>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</si>
  <si>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</si>
  <si>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</si>
  <si>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</si>
  <si>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</si>
  <si>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</si>
  <si>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</si>
  <si>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</si>
  <si>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</si>
  <si>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</si>
  <si>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</si>
  <si>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</si>
  <si>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</si>
  <si>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</si>
  <si>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</si>
  <si>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</si>
  <si>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</si>
  <si>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</si>
  <si>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</si>
  <si>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</si>
  <si>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</si>
  <si>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</si>
  <si>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</si>
  <si>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</si>
  <si>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</si>
  <si>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</si>
  <si>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</si>
  <si>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</si>
  <si>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</si>
  <si>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</si>
  <si>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</si>
  <si>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</si>
  <si>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</si>
  <si>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</si>
  <si>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</si>
  <si>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</si>
  <si>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</si>
  <si>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</si>
  <si>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</si>
  <si>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</si>
  <si>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</si>
  <si>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</si>
  <si>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</si>
  <si>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</si>
  <si>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</si>
  <si>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</si>
  <si>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</si>
  <si>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</si>
  <si>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</si>
  <si>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9/02</t>
  </si>
  <si>
    <t>7/16</t>
  </si>
  <si>
    <t>8/22</t>
  </si>
  <si>
    <t>7/21</t>
  </si>
  <si>
    <t>Barnstead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</si>
</sst>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44" sqref="G4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31</v>
      </c>
      <c r="C2" s="21">
        <v>31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287553.28999999998</v>
      </c>
      <c r="G9" s="18">
        <v>92999.63</v>
      </c>
      <c r="H9" s="18"/>
      <c r="I9" s="18"/>
      <c r="J9" s="67">
        <f>SUM(I439)</f>
        <v>834097.36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279452.78000000003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27297.4</v>
      </c>
      <c r="H13" s="18">
        <v>164802.14000000001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234958.5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1938.33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801964.57000000007</v>
      </c>
      <c r="G19" s="41">
        <f>SUM(G9:G18)</f>
        <v>122235.36</v>
      </c>
      <c r="H19" s="41">
        <f>SUM(H9:H18)</f>
        <v>164802.14000000001</v>
      </c>
      <c r="I19" s="41">
        <f>SUM(I9:I18)</f>
        <v>0</v>
      </c>
      <c r="J19" s="41">
        <f>SUM(J9:J18)</f>
        <v>834097.36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99570.19</v>
      </c>
      <c r="H22" s="18">
        <v>125699.23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220662.14</v>
      </c>
      <c r="G24" s="18">
        <v>26603.94</v>
      </c>
      <c r="H24" s="18">
        <v>10548.78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228536.62</v>
      </c>
      <c r="G28" s="18">
        <v>7862.16</v>
      </c>
      <c r="H28" s="18">
        <v>22294.400000000001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87708.96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5916.96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536907.72</v>
      </c>
      <c r="G32" s="41">
        <f>SUM(G22:G31)</f>
        <v>134036.29</v>
      </c>
      <c r="H32" s="41">
        <f>SUM(H22:H31)</f>
        <v>164459.37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-11800.93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>
        <v>342.77</v>
      </c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834097.36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265056.85-100000</f>
        <v>165056.84999999998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265056.84999999998</v>
      </c>
      <c r="G51" s="41">
        <f>SUM(G35:G50)</f>
        <v>-11800.93</v>
      </c>
      <c r="H51" s="41">
        <f>SUM(H35:H50)</f>
        <v>342.77</v>
      </c>
      <c r="I51" s="41">
        <f>SUM(I35:I50)</f>
        <v>0</v>
      </c>
      <c r="J51" s="41">
        <f>SUM(J35:J50)</f>
        <v>834097.36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801964.57</v>
      </c>
      <c r="G52" s="41">
        <f>G51+G32</f>
        <v>122235.36000000002</v>
      </c>
      <c r="H52" s="41">
        <f>H51+H32</f>
        <v>164802.13999999998</v>
      </c>
      <c r="I52" s="41">
        <f>I51+I32</f>
        <v>0</v>
      </c>
      <c r="J52" s="41">
        <f>J51+J32</f>
        <v>834097.36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7869043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7869043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15539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15539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2348.08</v>
      </c>
      <c r="G96" s="18">
        <v>108.36</v>
      </c>
      <c r="H96" s="18"/>
      <c r="I96" s="18"/>
      <c r="J96" s="18">
        <v>4284.79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90241.5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211983.66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214331.74</v>
      </c>
      <c r="G111" s="41">
        <f>SUM(G96:G110)</f>
        <v>90349.86</v>
      </c>
      <c r="H111" s="41">
        <f>SUM(H96:H110)</f>
        <v>0</v>
      </c>
      <c r="I111" s="41">
        <f>SUM(I96:I110)</f>
        <v>0</v>
      </c>
      <c r="J111" s="41">
        <f>SUM(J96:J110)</f>
        <v>4284.79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8098913.7400000002</v>
      </c>
      <c r="G112" s="41">
        <f>G60+G111</f>
        <v>90349.86</v>
      </c>
      <c r="H112" s="41">
        <f>H60+H79+H94+H111</f>
        <v>0</v>
      </c>
      <c r="I112" s="41">
        <f>I60+I111</f>
        <v>0</v>
      </c>
      <c r="J112" s="41">
        <f>J60+J111</f>
        <v>4284.79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2715926.13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987172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3703098.13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194882.82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14700.71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3189.41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209583.53</v>
      </c>
      <c r="G136" s="41">
        <f>SUM(G123:G135)</f>
        <v>3189.41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3912681.6599999997</v>
      </c>
      <c r="G140" s="41">
        <f>G121+SUM(G136:G137)</f>
        <v>3189.41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>
        <v>39180</v>
      </c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39180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>
        <v>115726.22</v>
      </c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286919.21000000002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11270.23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121193.67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84492.79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84492.79</v>
      </c>
      <c r="G162" s="41">
        <f>SUM(G150:G161)</f>
        <v>121193.67</v>
      </c>
      <c r="H162" s="41">
        <f>SUM(H150:H161)</f>
        <v>413915.66000000003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84492.79</v>
      </c>
      <c r="G169" s="41">
        <f>G147+G162+SUM(G163:G168)</f>
        <v>121193.67</v>
      </c>
      <c r="H169" s="41">
        <f>H147+H162+SUM(H163:H168)</f>
        <v>453095.66000000003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479500</v>
      </c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479500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134512.87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134512.87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479500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134512.87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12575588.189999999</v>
      </c>
      <c r="G193" s="47">
        <f>G112+G140+G169+G192</f>
        <v>214732.94</v>
      </c>
      <c r="H193" s="47">
        <f>H112+H140+H169+H192</f>
        <v>453095.66000000003</v>
      </c>
      <c r="I193" s="47">
        <f>I112+I140+I169+I192</f>
        <v>0</v>
      </c>
      <c r="J193" s="47">
        <f>J112+J140+J192</f>
        <v>138797.66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1769190.2</v>
      </c>
      <c r="G197" s="18">
        <v>900982.21</v>
      </c>
      <c r="H197" s="18">
        <v>17798.939999999999</v>
      </c>
      <c r="I197" s="18">
        <v>149298.46</v>
      </c>
      <c r="J197" s="18">
        <v>15976.38</v>
      </c>
      <c r="K197" s="18">
        <v>614</v>
      </c>
      <c r="L197" s="19">
        <f>SUM(F197:K197)</f>
        <v>2853860.19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989944.06</v>
      </c>
      <c r="G198" s="18">
        <v>570153.31999999995</v>
      </c>
      <c r="H198" s="18">
        <v>157890.84</v>
      </c>
      <c r="I198" s="18">
        <v>9774.31</v>
      </c>
      <c r="J198" s="18">
        <v>2091.86</v>
      </c>
      <c r="K198" s="18"/>
      <c r="L198" s="19">
        <f>SUM(F198:K198)</f>
        <v>1729854.3900000001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24400</v>
      </c>
      <c r="G200" s="18">
        <v>3232.27</v>
      </c>
      <c r="H200" s="18">
        <v>15040.88</v>
      </c>
      <c r="I200" s="18">
        <v>13573.57</v>
      </c>
      <c r="J200" s="18">
        <v>2029.9</v>
      </c>
      <c r="K200" s="18">
        <v>1195</v>
      </c>
      <c r="L200" s="19">
        <f>SUM(F200:K200)</f>
        <v>59471.62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424230.75</v>
      </c>
      <c r="G202" s="18">
        <v>222907.9</v>
      </c>
      <c r="H202" s="18">
        <v>32230.98</v>
      </c>
      <c r="I202" s="18">
        <v>8672.67</v>
      </c>
      <c r="J202" s="18">
        <v>120.07</v>
      </c>
      <c r="K202" s="18"/>
      <c r="L202" s="19">
        <f t="shared" ref="L202:L208" si="0">SUM(F202:K202)</f>
        <v>688162.37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106099.23</v>
      </c>
      <c r="G203" s="18">
        <v>58712.44</v>
      </c>
      <c r="H203" s="18">
        <v>18330.46</v>
      </c>
      <c r="I203" s="18">
        <v>52298.41</v>
      </c>
      <c r="J203" s="18">
        <v>42895.48</v>
      </c>
      <c r="K203" s="18">
        <v>2378</v>
      </c>
      <c r="L203" s="19">
        <f t="shared" si="0"/>
        <v>280714.01999999996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217078.66</v>
      </c>
      <c r="G204" s="18">
        <v>78939.72</v>
      </c>
      <c r="H204" s="18">
        <v>49867.73</v>
      </c>
      <c r="I204" s="18">
        <v>8177.37</v>
      </c>
      <c r="J204" s="18">
        <v>12287.04</v>
      </c>
      <c r="K204" s="18">
        <v>7277.04</v>
      </c>
      <c r="L204" s="19">
        <f t="shared" si="0"/>
        <v>373627.55999999994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371395.28</v>
      </c>
      <c r="G205" s="18">
        <v>198373.6</v>
      </c>
      <c r="H205" s="18">
        <v>19514.37</v>
      </c>
      <c r="I205" s="18">
        <v>7583.57</v>
      </c>
      <c r="J205" s="18"/>
      <c r="K205" s="18">
        <v>2736</v>
      </c>
      <c r="L205" s="19">
        <f t="shared" si="0"/>
        <v>599602.81999999995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166241.87</v>
      </c>
      <c r="G207" s="18">
        <v>96296.35</v>
      </c>
      <c r="H207" s="18">
        <v>184235.9</v>
      </c>
      <c r="I207" s="18">
        <v>149370.06</v>
      </c>
      <c r="J207" s="18">
        <v>1041</v>
      </c>
      <c r="K207" s="18"/>
      <c r="L207" s="19">
        <f t="shared" si="0"/>
        <v>597185.17999999993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491.94</v>
      </c>
      <c r="G208" s="18">
        <v>30.78</v>
      </c>
      <c r="H208" s="18">
        <v>411202.26</v>
      </c>
      <c r="I208" s="18"/>
      <c r="J208" s="18"/>
      <c r="K208" s="18"/>
      <c r="L208" s="19">
        <f t="shared" si="0"/>
        <v>411724.98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4069071.9899999998</v>
      </c>
      <c r="G211" s="41">
        <f t="shared" si="1"/>
        <v>2129628.5899999994</v>
      </c>
      <c r="H211" s="41">
        <f t="shared" si="1"/>
        <v>906112.36</v>
      </c>
      <c r="I211" s="41">
        <f t="shared" si="1"/>
        <v>398748.42000000004</v>
      </c>
      <c r="J211" s="41">
        <f t="shared" si="1"/>
        <v>76441.73000000001</v>
      </c>
      <c r="K211" s="41">
        <f t="shared" si="1"/>
        <v>14200.04</v>
      </c>
      <c r="L211" s="41">
        <f t="shared" si="1"/>
        <v>7594203.129999999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3562203.1</v>
      </c>
      <c r="I233" s="18"/>
      <c r="J233" s="18"/>
      <c r="K233" s="18"/>
      <c r="L233" s="19">
        <f>SUM(F233:K233)</f>
        <v>3562203.1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>
        <v>702.7</v>
      </c>
      <c r="H234" s="18">
        <v>228782.84</v>
      </c>
      <c r="I234" s="18"/>
      <c r="J234" s="18"/>
      <c r="K234" s="18"/>
      <c r="L234" s="19">
        <f>SUM(F234:K234)</f>
        <v>229485.54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235878.84</v>
      </c>
      <c r="I244" s="18"/>
      <c r="J244" s="18"/>
      <c r="K244" s="18"/>
      <c r="L244" s="19">
        <f t="shared" si="4"/>
        <v>235878.84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702.7</v>
      </c>
      <c r="H247" s="41">
        <f t="shared" si="5"/>
        <v>4026864.78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4027567.48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479500</v>
      </c>
      <c r="I255" s="18"/>
      <c r="J255" s="18"/>
      <c r="K255" s="18"/>
      <c r="L255" s="19">
        <f t="shared" si="6"/>
        <v>479500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479500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479500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4069071.9899999998</v>
      </c>
      <c r="G257" s="41">
        <f t="shared" si="8"/>
        <v>2130331.2899999996</v>
      </c>
      <c r="H257" s="41">
        <f t="shared" si="8"/>
        <v>5412477.1399999997</v>
      </c>
      <c r="I257" s="41">
        <f t="shared" si="8"/>
        <v>398748.42000000004</v>
      </c>
      <c r="J257" s="41">
        <f t="shared" si="8"/>
        <v>76441.73000000001</v>
      </c>
      <c r="K257" s="41">
        <f t="shared" si="8"/>
        <v>14200.04</v>
      </c>
      <c r="L257" s="41">
        <f t="shared" si="8"/>
        <v>12101270.609999999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480000</v>
      </c>
      <c r="L260" s="19">
        <f>SUM(F260:K260)</f>
        <v>480000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144152.91</v>
      </c>
      <c r="L261" s="19">
        <f>SUM(F261:K261)</f>
        <v>144152.91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134512.87</v>
      </c>
      <c r="L266" s="19">
        <f t="shared" si="9"/>
        <v>134512.87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758665.78</v>
      </c>
      <c r="L270" s="41">
        <f t="shared" si="9"/>
        <v>758665.78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4069071.9899999998</v>
      </c>
      <c r="G271" s="42">
        <f t="shared" si="11"/>
        <v>2130331.2899999996</v>
      </c>
      <c r="H271" s="42">
        <f t="shared" si="11"/>
        <v>5412477.1399999997</v>
      </c>
      <c r="I271" s="42">
        <f t="shared" si="11"/>
        <v>398748.42000000004</v>
      </c>
      <c r="J271" s="42">
        <f t="shared" si="11"/>
        <v>76441.73000000001</v>
      </c>
      <c r="K271" s="42">
        <f t="shared" si="11"/>
        <v>772865.82000000007</v>
      </c>
      <c r="L271" s="42">
        <f t="shared" si="11"/>
        <v>12859936.389999999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188747.27</v>
      </c>
      <c r="G276" s="18">
        <v>33412.49</v>
      </c>
      <c r="H276" s="18"/>
      <c r="I276" s="18">
        <v>14367.95</v>
      </c>
      <c r="J276" s="18"/>
      <c r="K276" s="18">
        <v>567.73</v>
      </c>
      <c r="L276" s="19">
        <f>SUM(F276:K276)</f>
        <v>237095.44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5022.3100000000004</v>
      </c>
      <c r="G279" s="18"/>
      <c r="H279" s="18"/>
      <c r="I279" s="18"/>
      <c r="J279" s="18"/>
      <c r="K279" s="18"/>
      <c r="L279" s="19">
        <f>SUM(F279:K279)</f>
        <v>5022.3100000000004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79612.7</v>
      </c>
      <c r="G281" s="18">
        <v>36113.519999999997</v>
      </c>
      <c r="H281" s="18"/>
      <c r="I281" s="18"/>
      <c r="J281" s="18"/>
      <c r="K281" s="18"/>
      <c r="L281" s="19">
        <f t="shared" ref="L281:L287" si="12">SUM(F281:K281)</f>
        <v>115726.22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>
        <v>12043.27</v>
      </c>
      <c r="I282" s="18"/>
      <c r="J282" s="18">
        <v>26675.18</v>
      </c>
      <c r="K282" s="18"/>
      <c r="L282" s="19">
        <f t="shared" si="12"/>
        <v>38718.449999999997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48360.75</v>
      </c>
      <c r="G283" s="18">
        <v>5382.22</v>
      </c>
      <c r="H283" s="18"/>
      <c r="I283" s="18"/>
      <c r="J283" s="18"/>
      <c r="K283" s="18"/>
      <c r="L283" s="19">
        <f t="shared" si="12"/>
        <v>53742.97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2447.5</v>
      </c>
      <c r="I287" s="18"/>
      <c r="J287" s="18"/>
      <c r="K287" s="18"/>
      <c r="L287" s="19">
        <f t="shared" si="12"/>
        <v>2447.5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321743.02999999997</v>
      </c>
      <c r="G290" s="42">
        <f t="shared" si="13"/>
        <v>74908.23</v>
      </c>
      <c r="H290" s="42">
        <f t="shared" si="13"/>
        <v>14490.77</v>
      </c>
      <c r="I290" s="42">
        <f t="shared" si="13"/>
        <v>14367.95</v>
      </c>
      <c r="J290" s="42">
        <f t="shared" si="13"/>
        <v>26675.18</v>
      </c>
      <c r="K290" s="42">
        <f t="shared" si="13"/>
        <v>567.73</v>
      </c>
      <c r="L290" s="41">
        <f t="shared" si="13"/>
        <v>452752.89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321743.02999999997</v>
      </c>
      <c r="G338" s="41">
        <f t="shared" si="20"/>
        <v>74908.23</v>
      </c>
      <c r="H338" s="41">
        <f t="shared" si="20"/>
        <v>14490.77</v>
      </c>
      <c r="I338" s="41">
        <f t="shared" si="20"/>
        <v>14367.95</v>
      </c>
      <c r="J338" s="41">
        <f t="shared" si="20"/>
        <v>26675.18</v>
      </c>
      <c r="K338" s="41">
        <f t="shared" si="20"/>
        <v>567.73</v>
      </c>
      <c r="L338" s="41">
        <f t="shared" si="20"/>
        <v>452752.89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321743.02999999997</v>
      </c>
      <c r="G352" s="41">
        <f>G338</f>
        <v>74908.23</v>
      </c>
      <c r="H352" s="41">
        <f>H338</f>
        <v>14490.77</v>
      </c>
      <c r="I352" s="41">
        <f>I338</f>
        <v>14367.95</v>
      </c>
      <c r="J352" s="41">
        <f>J338</f>
        <v>26675.18</v>
      </c>
      <c r="K352" s="47">
        <f>K338+K351</f>
        <v>567.73</v>
      </c>
      <c r="L352" s="41">
        <f>L338+L351</f>
        <v>452752.89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82514.06</v>
      </c>
      <c r="G358" s="18">
        <v>12928.31</v>
      </c>
      <c r="H358" s="18">
        <v>5358.74</v>
      </c>
      <c r="I358" s="18">
        <v>146689.43</v>
      </c>
      <c r="J358" s="18">
        <v>2542</v>
      </c>
      <c r="K358" s="18">
        <v>454</v>
      </c>
      <c r="L358" s="13">
        <f>SUM(F358:K358)</f>
        <v>250486.53999999998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82514.06</v>
      </c>
      <c r="G362" s="47">
        <f t="shared" si="22"/>
        <v>12928.31</v>
      </c>
      <c r="H362" s="47">
        <f t="shared" si="22"/>
        <v>5358.74</v>
      </c>
      <c r="I362" s="47">
        <f t="shared" si="22"/>
        <v>146689.43</v>
      </c>
      <c r="J362" s="47">
        <f t="shared" si="22"/>
        <v>2542</v>
      </c>
      <c r="K362" s="47">
        <f t="shared" si="22"/>
        <v>454</v>
      </c>
      <c r="L362" s="47">
        <f t="shared" si="22"/>
        <v>250486.53999999998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139228.20000000001</v>
      </c>
      <c r="G367" s="18"/>
      <c r="H367" s="18"/>
      <c r="I367" s="56">
        <f>SUM(F367:H367)</f>
        <v>139228.20000000001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7461.23</v>
      </c>
      <c r="G368" s="63"/>
      <c r="H368" s="63"/>
      <c r="I368" s="56">
        <f>SUM(F368:H368)</f>
        <v>7461.23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146689.43000000002</v>
      </c>
      <c r="G369" s="47">
        <f>SUM(G367:G368)</f>
        <v>0</v>
      </c>
      <c r="H369" s="47">
        <f>SUM(H367:H368)</f>
        <v>0</v>
      </c>
      <c r="I369" s="47">
        <f>SUM(I367:I368)</f>
        <v>146689.43000000002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>
        <v>615.79</v>
      </c>
      <c r="I388" s="18"/>
      <c r="J388" s="24" t="s">
        <v>288</v>
      </c>
      <c r="K388" s="24" t="s">
        <v>288</v>
      </c>
      <c r="L388" s="56">
        <f t="shared" si="25"/>
        <v>615.79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>
        <v>15000</v>
      </c>
      <c r="H391" s="18">
        <v>160.66999999999999</v>
      </c>
      <c r="I391" s="18"/>
      <c r="J391" s="24" t="s">
        <v>288</v>
      </c>
      <c r="K391" s="24" t="s">
        <v>288</v>
      </c>
      <c r="L391" s="56">
        <f t="shared" si="25"/>
        <v>15160.67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147.76</v>
      </c>
      <c r="I392" s="18"/>
      <c r="J392" s="24" t="s">
        <v>288</v>
      </c>
      <c r="K392" s="24" t="s">
        <v>288</v>
      </c>
      <c r="L392" s="56">
        <f t="shared" si="25"/>
        <v>147.76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924.21999999999991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15924.22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40000</v>
      </c>
      <c r="H396" s="18">
        <v>89.41</v>
      </c>
      <c r="I396" s="18"/>
      <c r="J396" s="24" t="s">
        <v>288</v>
      </c>
      <c r="K396" s="24" t="s">
        <v>288</v>
      </c>
      <c r="L396" s="56">
        <f t="shared" si="26"/>
        <v>40089.410000000003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2881.73</v>
      </c>
      <c r="I397" s="18"/>
      <c r="J397" s="24" t="s">
        <v>288</v>
      </c>
      <c r="K397" s="24" t="s">
        <v>288</v>
      </c>
      <c r="L397" s="56">
        <f t="shared" si="26"/>
        <v>2881.73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>
        <v>79512.87</v>
      </c>
      <c r="H400" s="18">
        <v>389.43</v>
      </c>
      <c r="I400" s="18"/>
      <c r="J400" s="24" t="s">
        <v>288</v>
      </c>
      <c r="K400" s="24" t="s">
        <v>288</v>
      </c>
      <c r="L400" s="56">
        <f t="shared" si="26"/>
        <v>79902.299999999988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119512.87</v>
      </c>
      <c r="H401" s="47">
        <f>SUM(H395:H400)</f>
        <v>3360.5699999999997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122873.44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134512.87</v>
      </c>
      <c r="H408" s="47">
        <f>H393+H401+H407</f>
        <v>4284.79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138797.66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176517.42</v>
      </c>
      <c r="G439" s="18">
        <v>657579.93999999994</v>
      </c>
      <c r="H439" s="18"/>
      <c r="I439" s="56">
        <f t="shared" ref="I439:I445" si="33">SUM(F439:H439)</f>
        <v>834097.36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176517.42</v>
      </c>
      <c r="G446" s="13">
        <f>SUM(G439:G445)</f>
        <v>657579.93999999994</v>
      </c>
      <c r="H446" s="13">
        <f>SUM(H439:H445)</f>
        <v>0</v>
      </c>
      <c r="I446" s="13">
        <f>SUM(I439:I445)</f>
        <v>834097.36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176517.42</v>
      </c>
      <c r="G459" s="18">
        <v>657579.93999999994</v>
      </c>
      <c r="H459" s="18"/>
      <c r="I459" s="56">
        <f t="shared" si="34"/>
        <v>834097.36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176517.42</v>
      </c>
      <c r="G460" s="83">
        <f>SUM(G454:G459)</f>
        <v>657579.93999999994</v>
      </c>
      <c r="H460" s="83">
        <f>SUM(H454:H459)</f>
        <v>0</v>
      </c>
      <c r="I460" s="83">
        <f>SUM(I454:I459)</f>
        <v>834097.36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176517.42</v>
      </c>
      <c r="G461" s="42">
        <f>G452+G460</f>
        <v>657579.93999999994</v>
      </c>
      <c r="H461" s="42">
        <f>H452+H460</f>
        <v>0</v>
      </c>
      <c r="I461" s="42">
        <f>I452+I460</f>
        <v>834097.36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549405.05000000005</v>
      </c>
      <c r="G465" s="18">
        <v>23952.67</v>
      </c>
      <c r="H465" s="18"/>
      <c r="I465" s="18"/>
      <c r="J465" s="18">
        <v>695299.7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12575588.189999999</v>
      </c>
      <c r="G468" s="18">
        <v>214732.94</v>
      </c>
      <c r="H468" s="18">
        <v>453095.66</v>
      </c>
      <c r="I468" s="18"/>
      <c r="J468" s="18">
        <v>138797.66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12575588.189999999</v>
      </c>
      <c r="G470" s="53">
        <f>SUM(G468:G469)</f>
        <v>214732.94</v>
      </c>
      <c r="H470" s="53">
        <f>SUM(H468:H469)</f>
        <v>453095.66</v>
      </c>
      <c r="I470" s="53">
        <f>SUM(I468:I469)</f>
        <v>0</v>
      </c>
      <c r="J470" s="53">
        <f>SUM(J468:J469)</f>
        <v>138797.66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12859936.390000001</v>
      </c>
      <c r="G472" s="18">
        <v>250486.54</v>
      </c>
      <c r="H472" s="18">
        <v>452752.89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12859936.390000001</v>
      </c>
      <c r="G474" s="53">
        <f>SUM(G472:G473)</f>
        <v>250486.54</v>
      </c>
      <c r="H474" s="53">
        <f>SUM(H472:H473)</f>
        <v>452752.89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265056.84999999963</v>
      </c>
      <c r="G476" s="53">
        <f>(G465+G470)- G474</f>
        <v>-11800.930000000022</v>
      </c>
      <c r="H476" s="53">
        <f>(H465+H470)- H474</f>
        <v>342.76999999996042</v>
      </c>
      <c r="I476" s="53">
        <f>(I465+I470)- I474</f>
        <v>0</v>
      </c>
      <c r="J476" s="53">
        <f>(J465+J470)- J474</f>
        <v>834097.36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5</v>
      </c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915</v>
      </c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9633125</v>
      </c>
      <c r="G493" s="18">
        <v>479500</v>
      </c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2880000</v>
      </c>
      <c r="G495" s="18">
        <v>435000</v>
      </c>
      <c r="H495" s="18"/>
      <c r="I495" s="18"/>
      <c r="J495" s="18"/>
      <c r="K495" s="53">
        <f>SUM(F495:J495)</f>
        <v>3315000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480000</v>
      </c>
      <c r="G497" s="18"/>
      <c r="H497" s="18"/>
      <c r="I497" s="18"/>
      <c r="J497" s="18"/>
      <c r="K497" s="53">
        <f t="shared" si="35"/>
        <v>480000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2400000</v>
      </c>
      <c r="G498" s="204">
        <v>435000</v>
      </c>
      <c r="H498" s="204"/>
      <c r="I498" s="204"/>
      <c r="J498" s="204"/>
      <c r="K498" s="205">
        <f t="shared" si="35"/>
        <v>2835000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454850</v>
      </c>
      <c r="G499" s="18">
        <v>54341.5</v>
      </c>
      <c r="H499" s="18"/>
      <c r="I499" s="18"/>
      <c r="J499" s="18"/>
      <c r="K499" s="53">
        <f t="shared" si="35"/>
        <v>509191.5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2854850</v>
      </c>
      <c r="G500" s="42">
        <f>SUM(G498:G499)</f>
        <v>489341.5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3344191.5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480000</v>
      </c>
      <c r="G501" s="204">
        <v>85000</v>
      </c>
      <c r="H501" s="204"/>
      <c r="I501" s="204"/>
      <c r="J501" s="204"/>
      <c r="K501" s="205">
        <f t="shared" si="35"/>
        <v>565000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140880</v>
      </c>
      <c r="G502" s="18">
        <v>19703.5</v>
      </c>
      <c r="H502" s="18"/>
      <c r="I502" s="18"/>
      <c r="J502" s="18"/>
      <c r="K502" s="53">
        <f t="shared" si="35"/>
        <v>160583.5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620880</v>
      </c>
      <c r="G503" s="42">
        <f>SUM(G501:G502)</f>
        <v>104703.5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725583.5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989944.06</v>
      </c>
      <c r="G521" s="18">
        <v>570153.31999999995</v>
      </c>
      <c r="H521" s="18">
        <v>157890.84</v>
      </c>
      <c r="I521" s="18">
        <v>9774.31</v>
      </c>
      <c r="J521" s="18">
        <v>2091.86</v>
      </c>
      <c r="K521" s="18"/>
      <c r="L521" s="88">
        <f>SUM(F521:K521)</f>
        <v>1729854.3900000001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>
        <v>702.7</v>
      </c>
      <c r="H523" s="18">
        <v>228782.84</v>
      </c>
      <c r="I523" s="18"/>
      <c r="J523" s="18"/>
      <c r="K523" s="18"/>
      <c r="L523" s="88">
        <f>SUM(F523:K523)</f>
        <v>229485.54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989944.06</v>
      </c>
      <c r="G524" s="108">
        <f t="shared" ref="G524:L524" si="36">SUM(G521:G523)</f>
        <v>570856.0199999999</v>
      </c>
      <c r="H524" s="108">
        <f t="shared" si="36"/>
        <v>386673.68</v>
      </c>
      <c r="I524" s="108">
        <f t="shared" si="36"/>
        <v>9774.31</v>
      </c>
      <c r="J524" s="108">
        <f t="shared" si="36"/>
        <v>2091.86</v>
      </c>
      <c r="K524" s="108">
        <f t="shared" si="36"/>
        <v>0</v>
      </c>
      <c r="L524" s="89">
        <f t="shared" si="36"/>
        <v>1959339.9300000002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336794.58</v>
      </c>
      <c r="G526" s="18">
        <v>198902.38</v>
      </c>
      <c r="H526" s="18">
        <v>28414.78</v>
      </c>
      <c r="I526" s="18">
        <v>5844.31</v>
      </c>
      <c r="J526" s="18"/>
      <c r="K526" s="18"/>
      <c r="L526" s="88">
        <f>SUM(F526:K526)</f>
        <v>569956.05000000005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336794.58</v>
      </c>
      <c r="G529" s="89">
        <f t="shared" ref="G529:L529" si="37">SUM(G526:G528)</f>
        <v>198902.38</v>
      </c>
      <c r="H529" s="89">
        <f t="shared" si="37"/>
        <v>28414.78</v>
      </c>
      <c r="I529" s="89">
        <f t="shared" si="37"/>
        <v>5844.31</v>
      </c>
      <c r="J529" s="89">
        <f t="shared" si="37"/>
        <v>0</v>
      </c>
      <c r="K529" s="89">
        <f t="shared" si="37"/>
        <v>0</v>
      </c>
      <c r="L529" s="89">
        <f t="shared" si="37"/>
        <v>569956.05000000005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82000</v>
      </c>
      <c r="G531" s="18">
        <v>29906</v>
      </c>
      <c r="H531" s="18"/>
      <c r="I531" s="18"/>
      <c r="J531" s="18"/>
      <c r="K531" s="18"/>
      <c r="L531" s="88">
        <f>SUM(F531:K531)</f>
        <v>111906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82000</v>
      </c>
      <c r="G534" s="89">
        <f t="shared" ref="G534:L534" si="38">SUM(G531:G533)</f>
        <v>29906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111906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38119.199999999997</v>
      </c>
      <c r="I541" s="18"/>
      <c r="J541" s="18"/>
      <c r="K541" s="18"/>
      <c r="L541" s="88">
        <f>SUM(F541:K541)</f>
        <v>38119.199999999997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60900.34</v>
      </c>
      <c r="I543" s="18"/>
      <c r="J543" s="18"/>
      <c r="K543" s="18"/>
      <c r="L543" s="88">
        <f>SUM(F543:K543)</f>
        <v>60900.34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99019.54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99019.54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1408738.6400000001</v>
      </c>
      <c r="G545" s="89">
        <f t="shared" ref="G545:L545" si="41">G524+G529+G534+G539+G544</f>
        <v>799664.39999999991</v>
      </c>
      <c r="H545" s="89">
        <f t="shared" si="41"/>
        <v>514107.99999999994</v>
      </c>
      <c r="I545" s="89">
        <f t="shared" si="41"/>
        <v>15618.619999999999</v>
      </c>
      <c r="J545" s="89">
        <f t="shared" si="41"/>
        <v>2091.86</v>
      </c>
      <c r="K545" s="89">
        <f t="shared" si="41"/>
        <v>0</v>
      </c>
      <c r="L545" s="89">
        <f t="shared" si="41"/>
        <v>2740221.5200000005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1729854.3900000001</v>
      </c>
      <c r="G549" s="87">
        <f>L526</f>
        <v>569956.05000000005</v>
      </c>
      <c r="H549" s="87">
        <f>L531</f>
        <v>111906</v>
      </c>
      <c r="I549" s="87">
        <f>L536</f>
        <v>0</v>
      </c>
      <c r="J549" s="87">
        <f>L541</f>
        <v>38119.199999999997</v>
      </c>
      <c r="K549" s="87">
        <f>SUM(F549:J549)</f>
        <v>2449835.6400000006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229485.54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60900.34</v>
      </c>
      <c r="K551" s="87">
        <f>SUM(F551:J551)</f>
        <v>290385.88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1959339.9300000002</v>
      </c>
      <c r="G552" s="89">
        <f t="shared" si="42"/>
        <v>569956.05000000005</v>
      </c>
      <c r="H552" s="89">
        <f t="shared" si="42"/>
        <v>111906</v>
      </c>
      <c r="I552" s="89">
        <f t="shared" si="42"/>
        <v>0</v>
      </c>
      <c r="J552" s="89">
        <f t="shared" si="42"/>
        <v>99019.54</v>
      </c>
      <c r="K552" s="89">
        <f t="shared" si="42"/>
        <v>2740221.5200000005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3562203.1</v>
      </c>
      <c r="I577" s="87">
        <f t="shared" si="47"/>
        <v>3562203.1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24657</v>
      </c>
      <c r="G579" s="18"/>
      <c r="H579" s="18">
        <v>72721.78</v>
      </c>
      <c r="I579" s="87">
        <f t="shared" si="47"/>
        <v>97378.78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88092.64</v>
      </c>
      <c r="I581" s="87">
        <f t="shared" si="47"/>
        <v>88092.64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42751.44</v>
      </c>
      <c r="G582" s="18"/>
      <c r="H582" s="18"/>
      <c r="I582" s="87">
        <f t="shared" si="47"/>
        <v>42751.44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350653.22</v>
      </c>
      <c r="I591" s="18"/>
      <c r="J591" s="18">
        <v>174978.5</v>
      </c>
      <c r="K591" s="104">
        <f t="shared" ref="K591:K597" si="48">SUM(H591:J591)</f>
        <v>525631.72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38119.199999999997</v>
      </c>
      <c r="I592" s="18"/>
      <c r="J592" s="18">
        <v>60900.34</v>
      </c>
      <c r="K592" s="104">
        <f t="shared" si="48"/>
        <v>99019.54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4221.8100000000004</v>
      </c>
      <c r="I594" s="18"/>
      <c r="J594" s="18"/>
      <c r="K594" s="104">
        <f t="shared" si="48"/>
        <v>4221.8100000000004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8686.27</v>
      </c>
      <c r="I595" s="18"/>
      <c r="J595" s="18"/>
      <c r="K595" s="104">
        <f t="shared" si="48"/>
        <v>8686.27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10044.48</v>
      </c>
      <c r="I597" s="18"/>
      <c r="J597" s="18"/>
      <c r="K597" s="104">
        <f t="shared" si="48"/>
        <v>10044.48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411724.98</v>
      </c>
      <c r="I598" s="108">
        <f>SUM(I591:I597)</f>
        <v>0</v>
      </c>
      <c r="J598" s="108">
        <f>SUM(J591:J597)</f>
        <v>235878.84</v>
      </c>
      <c r="K598" s="108">
        <f>SUM(K591:K597)</f>
        <v>647603.82000000007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103116.91</v>
      </c>
      <c r="I604" s="18"/>
      <c r="J604" s="18"/>
      <c r="K604" s="104">
        <f>SUM(H604:J604)</f>
        <v>103116.91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103116.91</v>
      </c>
      <c r="I605" s="108">
        <f>SUM(I602:I604)</f>
        <v>0</v>
      </c>
      <c r="J605" s="108">
        <f>SUM(J602:J604)</f>
        <v>0</v>
      </c>
      <c r="K605" s="108">
        <f>SUM(K602:K604)</f>
        <v>103116.91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801964.57000000007</v>
      </c>
      <c r="H617" s="109">
        <f>SUM(F52)</f>
        <v>801964.57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122235.36</v>
      </c>
      <c r="H618" s="109">
        <f>SUM(G52)</f>
        <v>122235.36000000002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164802.14000000001</v>
      </c>
      <c r="H619" s="109">
        <f>SUM(H52)</f>
        <v>164802.13999999998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834097.36</v>
      </c>
      <c r="H621" s="109">
        <f>SUM(J52)</f>
        <v>834097.36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265056.84999999998</v>
      </c>
      <c r="H622" s="109">
        <f>F476</f>
        <v>265056.84999999963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-11800.93</v>
      </c>
      <c r="H623" s="109">
        <f>G476</f>
        <v>-11800.930000000022</v>
      </c>
      <c r="I623" s="121" t="s">
        <v>102</v>
      </c>
      <c r="J623" s="109">
        <f t="shared" si="50"/>
        <v>2.1827872842550278E-11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342.77</v>
      </c>
      <c r="H624" s="109">
        <f>H476</f>
        <v>342.76999999996042</v>
      </c>
      <c r="I624" s="121" t="s">
        <v>103</v>
      </c>
      <c r="J624" s="109">
        <f t="shared" si="50"/>
        <v>3.9563019527122378E-11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834097.36</v>
      </c>
      <c r="H626" s="109">
        <f>J476</f>
        <v>834097.36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12575588.189999999</v>
      </c>
      <c r="H627" s="104">
        <f>SUM(F468)</f>
        <v>12575588.189999999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214732.94</v>
      </c>
      <c r="H628" s="104">
        <f>SUM(G468)</f>
        <v>214732.94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453095.66000000003</v>
      </c>
      <c r="H629" s="104">
        <f>SUM(H468)</f>
        <v>453095.66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138797.66</v>
      </c>
      <c r="H631" s="104">
        <f>SUM(J468)</f>
        <v>138797.66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12859936.389999999</v>
      </c>
      <c r="H632" s="104">
        <f>SUM(F472)</f>
        <v>12859936.390000001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452752.89</v>
      </c>
      <c r="H633" s="104">
        <f>SUM(H472)</f>
        <v>452752.89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146689.43</v>
      </c>
      <c r="H634" s="104">
        <f>I369</f>
        <v>146689.43000000002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250486.53999999998</v>
      </c>
      <c r="H635" s="104">
        <f>SUM(G472)</f>
        <v>250486.54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138797.66</v>
      </c>
      <c r="H637" s="164">
        <f>SUM(J468)</f>
        <v>138797.66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176517.42</v>
      </c>
      <c r="H639" s="104">
        <f>SUM(F461)</f>
        <v>176517.42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657579.93999999994</v>
      </c>
      <c r="H640" s="104">
        <f>SUM(G461)</f>
        <v>657579.93999999994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834097.36</v>
      </c>
      <c r="H642" s="104">
        <f>SUM(I461)</f>
        <v>834097.36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4284.79</v>
      </c>
      <c r="H644" s="104">
        <f>H408</f>
        <v>4284.79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134512.87</v>
      </c>
      <c r="H645" s="104">
        <f>G408</f>
        <v>134512.87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138797.66</v>
      </c>
      <c r="H646" s="104">
        <f>L408</f>
        <v>138797.66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647603.82000000007</v>
      </c>
      <c r="H647" s="104">
        <f>L208+L226+L244</f>
        <v>647603.81999999995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103116.91</v>
      </c>
      <c r="H648" s="104">
        <f>(J257+J338)-(J255+J336)</f>
        <v>103116.91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411724.98</v>
      </c>
      <c r="H649" s="104">
        <f>H598</f>
        <v>411724.98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235878.84</v>
      </c>
      <c r="H651" s="104">
        <f>J598</f>
        <v>235878.84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134512.87</v>
      </c>
      <c r="H655" s="104">
        <f>K266+K347</f>
        <v>134512.87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8297442.5599999987</v>
      </c>
      <c r="G660" s="19">
        <f>(L229+L309+L359)</f>
        <v>0</v>
      </c>
      <c r="H660" s="19">
        <f>(L247+L328+L360)</f>
        <v>4027567.48</v>
      </c>
      <c r="I660" s="19">
        <f>SUM(F660:H660)</f>
        <v>12325010.039999999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90241.5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90241.5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414172.48</v>
      </c>
      <c r="G662" s="19">
        <f>(L226+L306)-(J226+J306)</f>
        <v>0</v>
      </c>
      <c r="H662" s="19">
        <f>(L244+L325)-(J244+J325)</f>
        <v>235878.84</v>
      </c>
      <c r="I662" s="19">
        <f>SUM(F662:H662)</f>
        <v>650051.31999999995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170525.35</v>
      </c>
      <c r="G663" s="199">
        <f>SUM(G575:G587)+SUM(I602:I604)+L612</f>
        <v>0</v>
      </c>
      <c r="H663" s="199">
        <f>SUM(H575:H587)+SUM(J602:J604)+L613</f>
        <v>3723017.52</v>
      </c>
      <c r="I663" s="19">
        <f>SUM(F663:H663)</f>
        <v>3893542.87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7622503.2299999986</v>
      </c>
      <c r="G664" s="19">
        <f>G660-SUM(G661:G663)</f>
        <v>0</v>
      </c>
      <c r="H664" s="19">
        <f>H660-SUM(H661:H663)</f>
        <v>68671.120000000112</v>
      </c>
      <c r="I664" s="19">
        <f>I660-SUM(I661:I663)</f>
        <v>7691174.3499999987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461.21</v>
      </c>
      <c r="G665" s="248"/>
      <c r="H665" s="248"/>
      <c r="I665" s="19">
        <f>SUM(F665:H665)</f>
        <v>461.21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16527.189999999999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16676.080000000002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-68671.12</v>
      </c>
      <c r="I669" s="19">
        <f>SUM(F669:H669)</f>
        <v>-68671.12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16527.189999999999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16527.189999999999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Barnstead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1957937.47</v>
      </c>
      <c r="C9" s="229">
        <f>'DOE25'!G197+'DOE25'!G215+'DOE25'!G233+'DOE25'!G276+'DOE25'!G295+'DOE25'!G314</f>
        <v>934394.7</v>
      </c>
    </row>
    <row r="10" spans="1:3" x14ac:dyDescent="0.2">
      <c r="A10" t="s">
        <v>778</v>
      </c>
      <c r="B10" s="240">
        <v>1886680.43</v>
      </c>
      <c r="C10" s="240">
        <v>909735.28</v>
      </c>
    </row>
    <row r="11" spans="1:3" x14ac:dyDescent="0.2">
      <c r="A11" t="s">
        <v>779</v>
      </c>
      <c r="B11" s="240">
        <v>35604.44</v>
      </c>
      <c r="C11" s="240">
        <v>21932</v>
      </c>
    </row>
    <row r="12" spans="1:3" x14ac:dyDescent="0.2">
      <c r="A12" t="s">
        <v>780</v>
      </c>
      <c r="B12" s="240">
        <v>35652.6</v>
      </c>
      <c r="C12" s="240">
        <v>2727.42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1957937.47</v>
      </c>
      <c r="C13" s="231">
        <f>SUM(C10:C12)</f>
        <v>934394.70000000007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989944.06</v>
      </c>
      <c r="C18" s="229">
        <f>'DOE25'!G198+'DOE25'!G216+'DOE25'!G234+'DOE25'!G277+'DOE25'!G296+'DOE25'!G315</f>
        <v>570856.0199999999</v>
      </c>
    </row>
    <row r="19" spans="1:3" x14ac:dyDescent="0.2">
      <c r="A19" t="s">
        <v>778</v>
      </c>
      <c r="B19" s="240">
        <v>412308.72</v>
      </c>
      <c r="C19" s="240">
        <v>128749.53</v>
      </c>
    </row>
    <row r="20" spans="1:3" x14ac:dyDescent="0.2">
      <c r="A20" t="s">
        <v>779</v>
      </c>
      <c r="B20" s="240">
        <v>540108.06000000006</v>
      </c>
      <c r="C20" s="240">
        <v>439235.65</v>
      </c>
    </row>
    <row r="21" spans="1:3" x14ac:dyDescent="0.2">
      <c r="A21" t="s">
        <v>780</v>
      </c>
      <c r="B21" s="240">
        <v>37527.279999999999</v>
      </c>
      <c r="C21" s="240">
        <v>2870.84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989944.06</v>
      </c>
      <c r="C22" s="231">
        <f>SUM(C19:C21)</f>
        <v>570856.02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29422.31</v>
      </c>
      <c r="C36" s="235">
        <f>'DOE25'!G200+'DOE25'!G218+'DOE25'!G236+'DOE25'!G279+'DOE25'!G298+'DOE25'!G317</f>
        <v>3232.27</v>
      </c>
    </row>
    <row r="37" spans="1:3" x14ac:dyDescent="0.2">
      <c r="A37" t="s">
        <v>778</v>
      </c>
      <c r="B37" s="240">
        <v>7600</v>
      </c>
      <c r="C37" s="240">
        <v>1562.86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21822.31</v>
      </c>
      <c r="C39" s="240">
        <v>1669.41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29422.31</v>
      </c>
      <c r="C40" s="231">
        <f>SUM(C37:C39)</f>
        <v>3232.27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41" sqref="K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Barnstead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8434874.8399999999</v>
      </c>
      <c r="D5" s="20">
        <f>SUM('DOE25'!L197:L200)+SUM('DOE25'!L215:L218)+SUM('DOE25'!L233:L236)-F5-G5</f>
        <v>8412967.6999999993</v>
      </c>
      <c r="E5" s="243"/>
      <c r="F5" s="255">
        <f>SUM('DOE25'!J197:J200)+SUM('DOE25'!J215:J218)+SUM('DOE25'!J233:J236)</f>
        <v>20098.14</v>
      </c>
      <c r="G5" s="53">
        <f>SUM('DOE25'!K197:K200)+SUM('DOE25'!K215:K218)+SUM('DOE25'!K233:K236)</f>
        <v>1809</v>
      </c>
      <c r="H5" s="259"/>
    </row>
    <row r="6" spans="1:9" x14ac:dyDescent="0.2">
      <c r="A6" s="32">
        <v>2100</v>
      </c>
      <c r="B6" t="s">
        <v>800</v>
      </c>
      <c r="C6" s="245">
        <f t="shared" si="0"/>
        <v>688162.37</v>
      </c>
      <c r="D6" s="20">
        <f>'DOE25'!L202+'DOE25'!L220+'DOE25'!L238-F6-G6</f>
        <v>688042.3</v>
      </c>
      <c r="E6" s="243"/>
      <c r="F6" s="255">
        <f>'DOE25'!J202+'DOE25'!J220+'DOE25'!J238</f>
        <v>120.07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280714.01999999996</v>
      </c>
      <c r="D7" s="20">
        <f>'DOE25'!L203+'DOE25'!L221+'DOE25'!L239-F7-G7</f>
        <v>235440.53999999995</v>
      </c>
      <c r="E7" s="243"/>
      <c r="F7" s="255">
        <f>'DOE25'!J203+'DOE25'!J221+'DOE25'!J239</f>
        <v>42895.48</v>
      </c>
      <c r="G7" s="53">
        <f>'DOE25'!K203+'DOE25'!K221+'DOE25'!K239</f>
        <v>2378</v>
      </c>
      <c r="H7" s="259"/>
    </row>
    <row r="8" spans="1:9" x14ac:dyDescent="0.2">
      <c r="A8" s="32">
        <v>2300</v>
      </c>
      <c r="B8" t="s">
        <v>801</v>
      </c>
      <c r="C8" s="245">
        <f t="shared" si="0"/>
        <v>373627.55999999994</v>
      </c>
      <c r="D8" s="243"/>
      <c r="E8" s="20">
        <f>'DOE25'!L204+'DOE25'!L222+'DOE25'!L240-F8-G8-D9-D11</f>
        <v>354063.48</v>
      </c>
      <c r="F8" s="255">
        <f>'DOE25'!J204+'DOE25'!J222+'DOE25'!J240</f>
        <v>12287.04</v>
      </c>
      <c r="G8" s="53">
        <f>'DOE25'!K204+'DOE25'!K222+'DOE25'!K240</f>
        <v>7277.04</v>
      </c>
      <c r="H8" s="259"/>
    </row>
    <row r="9" spans="1:9" x14ac:dyDescent="0.2">
      <c r="A9" s="32">
        <v>2310</v>
      </c>
      <c r="B9" t="s">
        <v>817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599602.81999999995</v>
      </c>
      <c r="D12" s="20">
        <f>'DOE25'!L205+'DOE25'!L223+'DOE25'!L241-F12-G12</f>
        <v>596866.81999999995</v>
      </c>
      <c r="E12" s="243"/>
      <c r="F12" s="255">
        <f>'DOE25'!J205+'DOE25'!J223+'DOE25'!J241</f>
        <v>0</v>
      </c>
      <c r="G12" s="53">
        <f>'DOE25'!K205+'DOE25'!K223+'DOE25'!K241</f>
        <v>2736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597185.17999999993</v>
      </c>
      <c r="D14" s="20">
        <f>'DOE25'!L207+'DOE25'!L225+'DOE25'!L243-F14-G14</f>
        <v>596144.17999999993</v>
      </c>
      <c r="E14" s="243"/>
      <c r="F14" s="255">
        <f>'DOE25'!J207+'DOE25'!J225+'DOE25'!J243</f>
        <v>1041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647603.81999999995</v>
      </c>
      <c r="D15" s="20">
        <f>'DOE25'!L208+'DOE25'!L226+'DOE25'!L244-F15-G15</f>
        <v>647603.81999999995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479500</v>
      </c>
      <c r="D22" s="243"/>
      <c r="E22" s="243"/>
      <c r="F22" s="255">
        <f>'DOE25'!L255+'DOE25'!L336</f>
        <v>479500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624152.91</v>
      </c>
      <c r="D25" s="243"/>
      <c r="E25" s="243"/>
      <c r="F25" s="258"/>
      <c r="G25" s="256"/>
      <c r="H25" s="257">
        <f>'DOE25'!L260+'DOE25'!L261+'DOE25'!L341+'DOE25'!L342</f>
        <v>624152.91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111258.33999999997</v>
      </c>
      <c r="D29" s="20">
        <f>'DOE25'!L358+'DOE25'!L359+'DOE25'!L360-'DOE25'!I367-F29-G29</f>
        <v>108262.33999999997</v>
      </c>
      <c r="E29" s="243"/>
      <c r="F29" s="255">
        <f>'DOE25'!J358+'DOE25'!J359+'DOE25'!J360</f>
        <v>2542</v>
      </c>
      <c r="G29" s="53">
        <f>'DOE25'!K358+'DOE25'!K359+'DOE25'!K360</f>
        <v>454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452752.89</v>
      </c>
      <c r="D31" s="20">
        <f>'DOE25'!L290+'DOE25'!L309+'DOE25'!L328+'DOE25'!L333+'DOE25'!L334+'DOE25'!L335-F31-G31</f>
        <v>425509.98000000004</v>
      </c>
      <c r="E31" s="243"/>
      <c r="F31" s="255">
        <f>'DOE25'!J290+'DOE25'!J309+'DOE25'!J328+'DOE25'!J333+'DOE25'!J334+'DOE25'!J335</f>
        <v>26675.18</v>
      </c>
      <c r="G31" s="53">
        <f>'DOE25'!K290+'DOE25'!K309+'DOE25'!K328+'DOE25'!K333+'DOE25'!K334+'DOE25'!K335</f>
        <v>567.73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11710837.68</v>
      </c>
      <c r="E33" s="246">
        <f>SUM(E5:E31)</f>
        <v>354063.48</v>
      </c>
      <c r="F33" s="246">
        <f>SUM(F5:F31)</f>
        <v>585158.91</v>
      </c>
      <c r="G33" s="246">
        <f>SUM(G5:G31)</f>
        <v>15221.77</v>
      </c>
      <c r="H33" s="246">
        <f>SUM(H5:H31)</f>
        <v>624152.91</v>
      </c>
    </row>
    <row r="35" spans="2:8" ht="12" thickBot="1" x14ac:dyDescent="0.25">
      <c r="B35" s="253" t="s">
        <v>846</v>
      </c>
      <c r="D35" s="254">
        <f>E33</f>
        <v>354063.48</v>
      </c>
      <c r="E35" s="249"/>
    </row>
    <row r="36" spans="2:8" ht="12" thickTop="1" x14ac:dyDescent="0.2">
      <c r="B36" t="s">
        <v>814</v>
      </c>
      <c r="D36" s="20">
        <f>D33</f>
        <v>11710837.68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N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Barnstead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287553.28999999998</v>
      </c>
      <c r="D8" s="95">
        <f>'DOE25'!G9</f>
        <v>92999.63</v>
      </c>
      <c r="E8" s="95">
        <f>'DOE25'!H9</f>
        <v>0</v>
      </c>
      <c r="F8" s="95">
        <f>'DOE25'!I9</f>
        <v>0</v>
      </c>
      <c r="G8" s="95">
        <f>'DOE25'!J9</f>
        <v>834097.36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279452.78000000003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27297.4</v>
      </c>
      <c r="E12" s="95">
        <f>'DOE25'!H13</f>
        <v>164802.14000000001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234958.5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1938.33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801964.57000000007</v>
      </c>
      <c r="D18" s="41">
        <f>SUM(D8:D17)</f>
        <v>122235.36</v>
      </c>
      <c r="E18" s="41">
        <f>SUM(E8:E17)</f>
        <v>164802.14000000001</v>
      </c>
      <c r="F18" s="41">
        <f>SUM(F8:F17)</f>
        <v>0</v>
      </c>
      <c r="G18" s="41">
        <f>SUM(G8:G17)</f>
        <v>834097.36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99570.19</v>
      </c>
      <c r="E21" s="95">
        <f>'DOE25'!H22</f>
        <v>125699.23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220662.14</v>
      </c>
      <c r="D23" s="95">
        <f>'DOE25'!G24</f>
        <v>26603.94</v>
      </c>
      <c r="E23" s="95">
        <f>'DOE25'!H24</f>
        <v>10548.78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228536.62</v>
      </c>
      <c r="D27" s="95">
        <f>'DOE25'!G28</f>
        <v>7862.16</v>
      </c>
      <c r="E27" s="95">
        <f>'DOE25'!H28</f>
        <v>22294.400000000001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87708.96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5916.96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536907.72</v>
      </c>
      <c r="D31" s="41">
        <f>SUM(D21:D30)</f>
        <v>134036.29</v>
      </c>
      <c r="E31" s="41">
        <f>SUM(E21:E30)</f>
        <v>164459.37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-11800.93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342.77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834097.36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165056.84999999998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265056.84999999998</v>
      </c>
      <c r="D50" s="41">
        <f>SUM(D34:D49)</f>
        <v>-11800.93</v>
      </c>
      <c r="E50" s="41">
        <f>SUM(E34:E49)</f>
        <v>342.77</v>
      </c>
      <c r="F50" s="41">
        <f>SUM(F34:F49)</f>
        <v>0</v>
      </c>
      <c r="G50" s="41">
        <f>SUM(G34:G49)</f>
        <v>834097.36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801964.57</v>
      </c>
      <c r="D51" s="41">
        <f>D50+D31</f>
        <v>122235.36000000002</v>
      </c>
      <c r="E51" s="41">
        <f>E50+E31</f>
        <v>164802.13999999998</v>
      </c>
      <c r="F51" s="41">
        <f>F50+F31</f>
        <v>0</v>
      </c>
      <c r="G51" s="41">
        <f>G50+G31</f>
        <v>834097.36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7869043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15539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2348.08</v>
      </c>
      <c r="D59" s="95">
        <f>'DOE25'!G96</f>
        <v>108.36</v>
      </c>
      <c r="E59" s="95">
        <f>'DOE25'!H96</f>
        <v>0</v>
      </c>
      <c r="F59" s="95">
        <f>'DOE25'!I96</f>
        <v>0</v>
      </c>
      <c r="G59" s="95">
        <f>'DOE25'!J96</f>
        <v>4284.79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90241.5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211983.66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229870.74</v>
      </c>
      <c r="D62" s="130">
        <f>SUM(D57:D61)</f>
        <v>90349.86</v>
      </c>
      <c r="E62" s="130">
        <f>SUM(E57:E61)</f>
        <v>0</v>
      </c>
      <c r="F62" s="130">
        <f>SUM(F57:F61)</f>
        <v>0</v>
      </c>
      <c r="G62" s="130">
        <f>SUM(G57:G61)</f>
        <v>4284.79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8098913.7400000002</v>
      </c>
      <c r="D63" s="22">
        <f>D56+D62</f>
        <v>90349.86</v>
      </c>
      <c r="E63" s="22">
        <f>E56+E62</f>
        <v>0</v>
      </c>
      <c r="F63" s="22">
        <f>F56+F62</f>
        <v>0</v>
      </c>
      <c r="G63" s="22">
        <f>G56+G62</f>
        <v>4284.79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2715926.13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987172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3703098.13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194882.82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14700.71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3189.41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209583.53</v>
      </c>
      <c r="D78" s="130">
        <f>SUM(D72:D77)</f>
        <v>3189.41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3912681.6599999997</v>
      </c>
      <c r="D81" s="130">
        <f>SUM(D79:D80)+D78+D70</f>
        <v>3189.41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39180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115726.22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84492.79</v>
      </c>
      <c r="D88" s="95">
        <f>SUM('DOE25'!G153:G161)</f>
        <v>121193.67</v>
      </c>
      <c r="E88" s="95">
        <f>SUM('DOE25'!H153:H161)</f>
        <v>298189.44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84492.79</v>
      </c>
      <c r="D91" s="131">
        <f>SUM(D85:D90)</f>
        <v>121193.67</v>
      </c>
      <c r="E91" s="131">
        <f>SUM(E85:E90)</f>
        <v>453095.66000000003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479500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134512.87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479500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134512.87</v>
      </c>
    </row>
    <row r="104" spans="1:7" ht="12.75" thickTop="1" thickBot="1" x14ac:dyDescent="0.25">
      <c r="A104" s="33" t="s">
        <v>764</v>
      </c>
      <c r="C104" s="86">
        <f>C63+C81+C91+C103</f>
        <v>12575588.189999999</v>
      </c>
      <c r="D104" s="86">
        <f>D63+D81+D91+D103</f>
        <v>214732.94</v>
      </c>
      <c r="E104" s="86">
        <f>E63+E81+E91+E103</f>
        <v>453095.66000000003</v>
      </c>
      <c r="F104" s="86">
        <f>F63+F81+F91+F103</f>
        <v>0</v>
      </c>
      <c r="G104" s="86">
        <f>G63+G81+G103</f>
        <v>138797.66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6416063.29</v>
      </c>
      <c r="D109" s="24" t="s">
        <v>288</v>
      </c>
      <c r="E109" s="95">
        <f>('DOE25'!L276)+('DOE25'!L295)+('DOE25'!L314)</f>
        <v>237095.44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1959339.9300000002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59471.62</v>
      </c>
      <c r="D112" s="24" t="s">
        <v>288</v>
      </c>
      <c r="E112" s="95">
        <f>+('DOE25'!L279)+('DOE25'!L298)+('DOE25'!L317)</f>
        <v>5022.3100000000004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8434874.8399999999</v>
      </c>
      <c r="D115" s="86">
        <f>SUM(D109:D114)</f>
        <v>0</v>
      </c>
      <c r="E115" s="86">
        <f>SUM(E109:E114)</f>
        <v>242117.75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688162.37</v>
      </c>
      <c r="D118" s="24" t="s">
        <v>288</v>
      </c>
      <c r="E118" s="95">
        <f>+('DOE25'!L281)+('DOE25'!L300)+('DOE25'!L319)</f>
        <v>115726.22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280714.01999999996</v>
      </c>
      <c r="D119" s="24" t="s">
        <v>288</v>
      </c>
      <c r="E119" s="95">
        <f>+('DOE25'!L282)+('DOE25'!L301)+('DOE25'!L320)</f>
        <v>38718.449999999997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373627.55999999994</v>
      </c>
      <c r="D120" s="24" t="s">
        <v>288</v>
      </c>
      <c r="E120" s="95">
        <f>+('DOE25'!L283)+('DOE25'!L302)+('DOE25'!L321)</f>
        <v>53742.97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599602.81999999995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597185.17999999993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647603.81999999995</v>
      </c>
      <c r="D124" s="24" t="s">
        <v>288</v>
      </c>
      <c r="E124" s="95">
        <f>+('DOE25'!L287)+('DOE25'!L306)+('DOE25'!L325)</f>
        <v>2447.5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250486.53999999998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3186895.7699999991</v>
      </c>
      <c r="D128" s="86">
        <f>SUM(D118:D127)</f>
        <v>250486.53999999998</v>
      </c>
      <c r="E128" s="86">
        <f>SUM(E118:E127)</f>
        <v>210635.13999999998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479500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480000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144152.91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15924.22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122873.44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-4284.7900000000081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1238165.7799999998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12859936.389999999</v>
      </c>
      <c r="D145" s="86">
        <f>(D115+D128+D144)</f>
        <v>250486.53999999998</v>
      </c>
      <c r="E145" s="86">
        <f>(E115+E128+E144)</f>
        <v>452752.89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9/02</v>
      </c>
      <c r="C152" s="152" t="str">
        <f>'DOE25'!G491</f>
        <v>7/16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8/22</v>
      </c>
      <c r="C153" s="152" t="str">
        <f>'DOE25'!G492</f>
        <v>7/21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9633125</v>
      </c>
      <c r="C154" s="137">
        <f>'DOE25'!G493</f>
        <v>479500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2880000</v>
      </c>
      <c r="C156" s="137">
        <f>'DOE25'!G495</f>
        <v>435000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3315000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480000</v>
      </c>
    </row>
    <row r="159" spans="1:9" x14ac:dyDescent="0.2">
      <c r="A159" s="22" t="s">
        <v>35</v>
      </c>
      <c r="B159" s="137">
        <f>'DOE25'!F498</f>
        <v>2400000</v>
      </c>
      <c r="C159" s="137">
        <f>'DOE25'!G498</f>
        <v>435000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2835000</v>
      </c>
    </row>
    <row r="160" spans="1:9" x14ac:dyDescent="0.2">
      <c r="A160" s="22" t="s">
        <v>36</v>
      </c>
      <c r="B160" s="137">
        <f>'DOE25'!F499</f>
        <v>454850</v>
      </c>
      <c r="C160" s="137">
        <f>'DOE25'!G499</f>
        <v>54341.5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509191.5</v>
      </c>
    </row>
    <row r="161" spans="1:7" x14ac:dyDescent="0.2">
      <c r="A161" s="22" t="s">
        <v>37</v>
      </c>
      <c r="B161" s="137">
        <f>'DOE25'!F500</f>
        <v>2854850</v>
      </c>
      <c r="C161" s="137">
        <f>'DOE25'!G500</f>
        <v>489341.5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3344191.5</v>
      </c>
    </row>
    <row r="162" spans="1:7" x14ac:dyDescent="0.2">
      <c r="A162" s="22" t="s">
        <v>38</v>
      </c>
      <c r="B162" s="137">
        <f>'DOE25'!F501</f>
        <v>480000</v>
      </c>
      <c r="C162" s="137">
        <f>'DOE25'!G501</f>
        <v>85000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565000</v>
      </c>
    </row>
    <row r="163" spans="1:7" x14ac:dyDescent="0.2">
      <c r="A163" s="22" t="s">
        <v>39</v>
      </c>
      <c r="B163" s="137">
        <f>'DOE25'!F502</f>
        <v>140880</v>
      </c>
      <c r="C163" s="137">
        <f>'DOE25'!G502</f>
        <v>19703.5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160583.5</v>
      </c>
    </row>
    <row r="164" spans="1:7" x14ac:dyDescent="0.2">
      <c r="A164" s="22" t="s">
        <v>246</v>
      </c>
      <c r="B164" s="137">
        <f>'DOE25'!F503</f>
        <v>620880</v>
      </c>
      <c r="C164" s="137">
        <f>'DOE25'!G503</f>
        <v>104703.5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725583.5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Barnstead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16527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16527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6653159</v>
      </c>
      <c r="D10" s="182">
        <f>ROUND((C10/$C$28)*100,1)</f>
        <v>53.7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1959340</v>
      </c>
      <c r="D11" s="182">
        <f>ROUND((C11/$C$28)*100,1)</f>
        <v>15.8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64494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803889</v>
      </c>
      <c r="D15" s="182">
        <f t="shared" ref="D15:D27" si="0">ROUND((C15/$C$28)*100,1)</f>
        <v>6.5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319432</v>
      </c>
      <c r="D16" s="182">
        <f t="shared" si="0"/>
        <v>2.6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427371</v>
      </c>
      <c r="D17" s="182">
        <f t="shared" si="0"/>
        <v>3.5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599603</v>
      </c>
      <c r="D18" s="182">
        <f t="shared" si="0"/>
        <v>4.8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597185</v>
      </c>
      <c r="D20" s="182">
        <f t="shared" si="0"/>
        <v>4.8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650051</v>
      </c>
      <c r="D21" s="182">
        <f t="shared" si="0"/>
        <v>5.3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144153</v>
      </c>
      <c r="D25" s="182">
        <f t="shared" si="0"/>
        <v>1.2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160245.5</v>
      </c>
      <c r="D27" s="182">
        <f t="shared" si="0"/>
        <v>1.3</v>
      </c>
    </row>
    <row r="28" spans="1:4" x14ac:dyDescent="0.2">
      <c r="B28" s="187" t="s">
        <v>722</v>
      </c>
      <c r="C28" s="180">
        <f>SUM(C10:C27)</f>
        <v>12378922.5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479500</v>
      </c>
    </row>
    <row r="30" spans="1:4" x14ac:dyDescent="0.2">
      <c r="B30" s="187" t="s">
        <v>728</v>
      </c>
      <c r="C30" s="180">
        <f>SUM(C28:C29)</f>
        <v>12858422.5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480000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7869043</v>
      </c>
      <c r="D35" s="182">
        <f t="shared" ref="D35:D40" si="1">ROUND((C35/$C$41)*100,1)</f>
        <v>62.1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234263.8900000006</v>
      </c>
      <c r="D36" s="182">
        <f t="shared" si="1"/>
        <v>1.8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3703098</v>
      </c>
      <c r="D37" s="182">
        <f t="shared" si="1"/>
        <v>29.2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212773</v>
      </c>
      <c r="D38" s="182">
        <f t="shared" si="1"/>
        <v>1.7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658782</v>
      </c>
      <c r="D39" s="182">
        <f t="shared" si="1"/>
        <v>5.2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12677959.890000001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479500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Barnstead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39</vt:i4>
      </vt:variant>
    </vt:vector>
  </HeadingPairs>
  <TitlesOfParts>
    <vt:vector size="46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'MS-25'!Print_Area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2017-09-13T17:58:34Z</cp:lastPrinted>
  <dcterms:created xsi:type="dcterms:W3CDTF">1997-12-04T19:04:30Z</dcterms:created>
  <dcterms:modified xsi:type="dcterms:W3CDTF">2017-12-04T16:31:14Z</dcterms:modified>
</cp:coreProperties>
</file>