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AB0A" lockStructure="1"/>
  <bookViews>
    <workbookView xWindow="900" yWindow="-105" windowWidth="32865" windowHeight="15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68" i="1" l="1"/>
  <c r="F472" i="1"/>
  <c r="F14" i="1"/>
  <c r="C21" i="12"/>
  <c r="C19" i="12"/>
  <c r="C20" i="12"/>
  <c r="B20" i="12"/>
  <c r="B19" i="12"/>
  <c r="B21" i="12"/>
  <c r="C12" i="12"/>
  <c r="C10" i="12"/>
  <c r="C11" i="12"/>
  <c r="B11" i="12"/>
  <c r="B12" i="12"/>
  <c r="B10" i="12"/>
  <c r="D11" i="13"/>
  <c r="H522" i="1"/>
  <c r="G522" i="1"/>
  <c r="F522" i="1"/>
  <c r="J527" i="1"/>
  <c r="I527" i="1"/>
  <c r="H527" i="1"/>
  <c r="G527" i="1"/>
  <c r="F527" i="1"/>
  <c r="J522" i="1"/>
  <c r="I522" i="1"/>
  <c r="H541" i="1"/>
  <c r="H521" i="1"/>
  <c r="G521" i="1"/>
  <c r="F521" i="1"/>
  <c r="H538" i="1"/>
  <c r="H537" i="1"/>
  <c r="H536" i="1"/>
  <c r="H543" i="1"/>
  <c r="H542" i="1"/>
  <c r="J526" i="1"/>
  <c r="H526" i="1"/>
  <c r="G526" i="1"/>
  <c r="F526" i="1"/>
  <c r="J521" i="1"/>
  <c r="I521" i="1"/>
  <c r="H604" i="1"/>
  <c r="J604" i="1"/>
  <c r="I604" i="1"/>
  <c r="F197" i="1"/>
  <c r="H255" i="1"/>
  <c r="F203" i="1"/>
  <c r="F242" i="1"/>
  <c r="F224" i="1"/>
  <c r="F206" i="1"/>
  <c r="H225" i="1"/>
  <c r="G225" i="1"/>
  <c r="F225" i="1"/>
  <c r="H207" i="1"/>
  <c r="G207" i="1"/>
  <c r="F207" i="1"/>
  <c r="H221" i="1"/>
  <c r="H203" i="1"/>
  <c r="F220" i="1"/>
  <c r="G220" i="1"/>
  <c r="H220" i="1"/>
  <c r="I220" i="1"/>
  <c r="K220" i="1"/>
  <c r="K202" i="1"/>
  <c r="I202" i="1"/>
  <c r="H202" i="1"/>
  <c r="G202" i="1"/>
  <c r="F202" i="1"/>
  <c r="H226" i="1"/>
  <c r="H208" i="1"/>
  <c r="H244" i="1"/>
  <c r="J207" i="1"/>
  <c r="J225" i="1"/>
  <c r="I207" i="1"/>
  <c r="I225" i="1"/>
  <c r="H223" i="1"/>
  <c r="I223" i="1"/>
  <c r="J223" i="1"/>
  <c r="K223" i="1"/>
  <c r="K205" i="1"/>
  <c r="J205" i="1"/>
  <c r="I205" i="1"/>
  <c r="H205" i="1"/>
  <c r="G223" i="1"/>
  <c r="F223" i="1"/>
  <c r="G205" i="1"/>
  <c r="F205" i="1"/>
  <c r="K221" i="1"/>
  <c r="K203" i="1"/>
  <c r="F221" i="1"/>
  <c r="G221" i="1"/>
  <c r="J221" i="1"/>
  <c r="J203" i="1"/>
  <c r="G203" i="1"/>
  <c r="I221" i="1"/>
  <c r="I203" i="1"/>
  <c r="J220" i="1"/>
  <c r="J202" i="1"/>
  <c r="K218" i="1"/>
  <c r="I218" i="1"/>
  <c r="H218" i="1"/>
  <c r="F218" i="1"/>
  <c r="G218" i="1"/>
  <c r="H235" i="1"/>
  <c r="H198" i="1"/>
  <c r="J216" i="1"/>
  <c r="I216" i="1"/>
  <c r="J198" i="1"/>
  <c r="I198" i="1"/>
  <c r="H216" i="1"/>
  <c r="H234" i="1"/>
  <c r="G234" i="1"/>
  <c r="G216" i="1"/>
  <c r="F216" i="1"/>
  <c r="G198" i="1"/>
  <c r="F198" i="1"/>
  <c r="I197" i="1"/>
  <c r="I215" i="1"/>
  <c r="J215" i="1"/>
  <c r="K215" i="1"/>
  <c r="J197" i="1"/>
  <c r="H233" i="1"/>
  <c r="H215" i="1"/>
  <c r="H197" i="1"/>
  <c r="F215" i="1"/>
  <c r="G197" i="1"/>
  <c r="G215" i="1"/>
  <c r="F28" i="1"/>
  <c r="H155" i="1"/>
  <c r="H154" i="1"/>
  <c r="J276" i="1"/>
  <c r="I276" i="1"/>
  <c r="G276" i="1"/>
  <c r="F276" i="1"/>
  <c r="I301" i="1"/>
  <c r="H301" i="1"/>
  <c r="F301" i="1"/>
  <c r="H282" i="1"/>
  <c r="I282" i="1"/>
  <c r="F282" i="1"/>
  <c r="H277" i="1"/>
  <c r="H296" i="1"/>
  <c r="G296" i="1"/>
  <c r="G277" i="1"/>
  <c r="F296" i="1"/>
  <c r="F277" i="1"/>
  <c r="K276" i="1"/>
  <c r="H276" i="1"/>
  <c r="G468" i="1"/>
  <c r="K359" i="1"/>
  <c r="K358" i="1"/>
  <c r="H359" i="1"/>
  <c r="H358" i="1"/>
  <c r="G158" i="1"/>
  <c r="G43" i="1"/>
  <c r="H592" i="1"/>
  <c r="I594" i="1"/>
  <c r="I595" i="1"/>
  <c r="H595" i="1"/>
  <c r="J592" i="1"/>
  <c r="I592" i="1"/>
  <c r="J591" i="1"/>
  <c r="I591" i="1"/>
  <c r="H591" i="1"/>
  <c r="H581" i="1"/>
  <c r="H579" i="1"/>
  <c r="H575" i="1"/>
  <c r="H577" i="1"/>
  <c r="J468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I458" i="1"/>
  <c r="J39" i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63" i="2" s="1"/>
  <c r="G59" i="2"/>
  <c r="G61" i="2"/>
  <c r="F2" i="11"/>
  <c r="L613" i="1"/>
  <c r="H663" i="1"/>
  <c r="L612" i="1"/>
  <c r="G663" i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 s="1"/>
  <c r="J111" i="1"/>
  <c r="J112" i="1" s="1"/>
  <c r="J193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/>
  <c r="G13" i="2" s="1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/>
  <c r="I457" i="1"/>
  <c r="J37" i="1"/>
  <c r="I459" i="1"/>
  <c r="J48" i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C104" i="2" s="1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C115" i="2" s="1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D145" i="2" s="1"/>
  <c r="F128" i="2"/>
  <c r="G128" i="2"/>
  <c r="C130" i="2"/>
  <c r="E130" i="2"/>
  <c r="F130" i="2"/>
  <c r="F144" i="2" s="1"/>
  <c r="F145" i="2" s="1"/>
  <c r="D134" i="2"/>
  <c r="D144" i="2"/>
  <c r="E134" i="2"/>
  <c r="F134" i="2"/>
  <c r="K419" i="1"/>
  <c r="K427" i="1"/>
  <c r="K433" i="1"/>
  <c r="L263" i="1"/>
  <c r="C135" i="2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F52" i="1"/>
  <c r="G32" i="1"/>
  <c r="H32" i="1"/>
  <c r="H52" i="1" s="1"/>
  <c r="H619" i="1" s="1"/>
  <c r="J619" i="1" s="1"/>
  <c r="I32" i="1"/>
  <c r="H617" i="1"/>
  <c r="G52" i="1"/>
  <c r="H618" i="1"/>
  <c r="H51" i="1"/>
  <c r="I51" i="1"/>
  <c r="I52" i="1" s="1"/>
  <c r="H620" i="1" s="1"/>
  <c r="J620" i="1" s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J649" i="1" s="1"/>
  <c r="I598" i="1"/>
  <c r="H650" i="1" s="1"/>
  <c r="J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L257" i="1"/>
  <c r="L271" i="1" s="1"/>
  <c r="G632" i="1" s="1"/>
  <c r="J632" i="1" s="1"/>
  <c r="K257" i="1"/>
  <c r="K271" i="1"/>
  <c r="I257" i="1"/>
  <c r="I271" i="1"/>
  <c r="G257" i="1"/>
  <c r="G271" i="1"/>
  <c r="G164" i="2"/>
  <c r="C18" i="2"/>
  <c r="C26" i="10"/>
  <c r="L328" i="1"/>
  <c r="H660" i="1" s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 s="1"/>
  <c r="D18" i="2"/>
  <c r="D17" i="13"/>
  <c r="C17" i="13"/>
  <c r="D6" i="13"/>
  <c r="C6" i="13" s="1"/>
  <c r="E8" i="13"/>
  <c r="C8" i="13" s="1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 s="1"/>
  <c r="E104" i="2" s="1"/>
  <c r="E31" i="2"/>
  <c r="G62" i="2"/>
  <c r="D29" i="13"/>
  <c r="C29" i="13" s="1"/>
  <c r="D19" i="13"/>
  <c r="C19" i="13"/>
  <c r="D14" i="13"/>
  <c r="C14" i="13" s="1"/>
  <c r="E13" i="13"/>
  <c r="C13" i="13"/>
  <c r="J617" i="1"/>
  <c r="E78" i="2"/>
  <c r="E81" i="2" s="1"/>
  <c r="L427" i="1"/>
  <c r="J257" i="1"/>
  <c r="J271" i="1" s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J644" i="1"/>
  <c r="J643" i="1"/>
  <c r="J476" i="1"/>
  <c r="H626" i="1"/>
  <c r="H476" i="1"/>
  <c r="H624" i="1" s="1"/>
  <c r="J624" i="1" s="1"/>
  <c r="F476" i="1"/>
  <c r="H622" i="1"/>
  <c r="J622" i="1" s="1"/>
  <c r="I476" i="1"/>
  <c r="H625" i="1"/>
  <c r="J625" i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/>
  <c r="C4" i="10" s="1"/>
  <c r="K598" i="1"/>
  <c r="G647" i="1"/>
  <c r="J647" i="1"/>
  <c r="K545" i="1"/>
  <c r="C29" i="10"/>
  <c r="I661" i="1"/>
  <c r="H140" i="1"/>
  <c r="L401" i="1"/>
  <c r="C139" i="2"/>
  <c r="L393" i="1"/>
  <c r="A13" i="12"/>
  <c r="F22" i="13"/>
  <c r="H25" i="13"/>
  <c r="C25" i="13" s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C35" i="10"/>
  <c r="L309" i="1"/>
  <c r="D5" i="13"/>
  <c r="C5" i="13" s="1"/>
  <c r="E16" i="13"/>
  <c r="E33" i="13" s="1"/>
  <c r="D35" i="13" s="1"/>
  <c r="J655" i="1"/>
  <c r="J645" i="1"/>
  <c r="L570" i="1"/>
  <c r="I571" i="1"/>
  <c r="I545" i="1"/>
  <c r="G36" i="2"/>
  <c r="L565" i="1"/>
  <c r="G545" i="1"/>
  <c r="L545" i="1"/>
  <c r="H545" i="1"/>
  <c r="C22" i="13"/>
  <c r="C138" i="2"/>
  <c r="H33" i="13"/>
  <c r="F66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/>
  <c r="L338" i="1"/>
  <c r="L352" i="1" s="1"/>
  <c r="G633" i="1" s="1"/>
  <c r="J633" i="1" s="1"/>
  <c r="C24" i="10"/>
  <c r="G660" i="1"/>
  <c r="G664" i="1"/>
  <c r="G31" i="13"/>
  <c r="G33" i="13"/>
  <c r="I338" i="1"/>
  <c r="I352" i="1"/>
  <c r="L407" i="1"/>
  <c r="C140" i="2" s="1"/>
  <c r="C141" i="2" s="1"/>
  <c r="L571" i="1"/>
  <c r="I192" i="1"/>
  <c r="E91" i="2"/>
  <c r="D51" i="2"/>
  <c r="J654" i="1"/>
  <c r="J653" i="1"/>
  <c r="L434" i="1"/>
  <c r="G638" i="1" s="1"/>
  <c r="J638" i="1" s="1"/>
  <c r="J434" i="1"/>
  <c r="F434" i="1"/>
  <c r="K434" i="1"/>
  <c r="G134" i="2"/>
  <c r="G144" i="2" s="1"/>
  <c r="G145" i="2" s="1"/>
  <c r="F31" i="13"/>
  <c r="F33" i="13" s="1"/>
  <c r="H193" i="1"/>
  <c r="G629" i="1"/>
  <c r="J629" i="1" s="1"/>
  <c r="G169" i="1"/>
  <c r="C39" i="10" s="1"/>
  <c r="G140" i="1"/>
  <c r="F140" i="1"/>
  <c r="F193" i="1"/>
  <c r="G627" i="1" s="1"/>
  <c r="J627" i="1" s="1"/>
  <c r="J618" i="1"/>
  <c r="G667" i="1"/>
  <c r="G672" i="1"/>
  <c r="C5" i="10" s="1"/>
  <c r="G42" i="2"/>
  <c r="G16" i="2"/>
  <c r="D31" i="13"/>
  <c r="C31" i="13" s="1"/>
  <c r="F545" i="1"/>
  <c r="H434" i="1"/>
  <c r="D103" i="2"/>
  <c r="D104" i="2"/>
  <c r="I140" i="1"/>
  <c r="A22" i="12"/>
  <c r="H648" i="1"/>
  <c r="J648" i="1" s="1"/>
  <c r="J652" i="1"/>
  <c r="J642" i="1"/>
  <c r="G571" i="1"/>
  <c r="I434" i="1"/>
  <c r="G434" i="1"/>
  <c r="I663" i="1"/>
  <c r="C27" i="10"/>
  <c r="D27" i="10" s="1"/>
  <c r="C28" i="10"/>
  <c r="D23" i="10" s="1"/>
  <c r="G635" i="1"/>
  <c r="J635" i="1" s="1"/>
  <c r="C51" i="2"/>
  <c r="G193" i="1"/>
  <c r="G628" i="1" s="1"/>
  <c r="J628" i="1" s="1"/>
  <c r="C38" i="10"/>
  <c r="D19" i="10"/>
  <c r="D25" i="10"/>
  <c r="D15" i="10"/>
  <c r="D20" i="10"/>
  <c r="C144" i="2" l="1"/>
  <c r="C145" i="2" s="1"/>
  <c r="J19" i="1"/>
  <c r="G621" i="1" s="1"/>
  <c r="G8" i="2"/>
  <c r="G18" i="2" s="1"/>
  <c r="G552" i="1"/>
  <c r="G631" i="1"/>
  <c r="J631" i="1" s="1"/>
  <c r="G646" i="1"/>
  <c r="G104" i="2"/>
  <c r="K551" i="1"/>
  <c r="I193" i="1"/>
  <c r="G630" i="1" s="1"/>
  <c r="J630" i="1" s="1"/>
  <c r="C36" i="10"/>
  <c r="H664" i="1"/>
  <c r="I660" i="1"/>
  <c r="I664" i="1" s="1"/>
  <c r="G21" i="2"/>
  <c r="G31" i="2" s="1"/>
  <c r="J32" i="1"/>
  <c r="I552" i="1"/>
  <c r="K550" i="1"/>
  <c r="G44" i="2"/>
  <c r="G50" i="2" s="1"/>
  <c r="G51" i="2" s="1"/>
  <c r="J51" i="1"/>
  <c r="J552" i="1"/>
  <c r="K549" i="1"/>
  <c r="F552" i="1"/>
  <c r="D13" i="10"/>
  <c r="D22" i="10"/>
  <c r="D11" i="10"/>
  <c r="D21" i="10"/>
  <c r="D18" i="10"/>
  <c r="D17" i="10"/>
  <c r="D12" i="10"/>
  <c r="D24" i="10"/>
  <c r="C16" i="13"/>
  <c r="D10" i="10"/>
  <c r="D28" i="10" s="1"/>
  <c r="D26" i="10"/>
  <c r="C30" i="10"/>
  <c r="D16" i="10"/>
  <c r="D33" i="13"/>
  <c r="D36" i="13" s="1"/>
  <c r="L408" i="1"/>
  <c r="I667" i="1" l="1"/>
  <c r="I672" i="1"/>
  <c r="C7" i="10" s="1"/>
  <c r="G637" i="1"/>
  <c r="J637" i="1" s="1"/>
  <c r="H646" i="1"/>
  <c r="K552" i="1"/>
  <c r="H667" i="1"/>
  <c r="H672" i="1"/>
  <c r="C6" i="10" s="1"/>
  <c r="C41" i="10"/>
  <c r="J52" i="1"/>
  <c r="H621" i="1" s="1"/>
  <c r="G626" i="1"/>
  <c r="J626" i="1" s="1"/>
  <c r="J646" i="1"/>
  <c r="J621" i="1"/>
  <c r="H656" i="1" l="1"/>
  <c r="D40" i="10"/>
  <c r="D37" i="10"/>
  <c r="D35" i="10"/>
  <c r="D38" i="10"/>
  <c r="D39" i="10"/>
  <c r="D36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<sst xmlns="http://schemas.openxmlformats.org/spreadsheetml/2006/main" count="3959" uniqueCount="915">
  <si>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</si>
  <si>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</si>
  <si>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</si>
  <si>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</si>
  <si>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</si>
  <si>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</si>
  <si>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</si>
  <si>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</si>
  <si>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</si>
  <si>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</si>
  <si>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</si>
  <si>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</si>
  <si>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</si>
  <si>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</si>
  <si>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</si>
  <si>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</si>
  <si>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</si>
  <si>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</si>
  <si>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</si>
  <si>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</si>
  <si>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</si>
  <si>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</si>
  <si>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</si>
  <si>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</si>
  <si>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</si>
  <si>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</si>
  <si>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</si>
  <si>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</si>
  <si>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</si>
  <si>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</si>
  <si>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</si>
  <si>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</si>
  <si>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</si>
  <si>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</si>
  <si>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</si>
  <si>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</si>
  <si>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</si>
  <si>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</si>
  <si>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</si>
  <si>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</si>
  <si>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</si>
  <si>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</si>
  <si>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</si>
  <si>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</si>
  <si>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</si>
  <si>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</si>
  <si>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</si>
  <si>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</si>
  <si>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</si>
  <si>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</si>
  <si>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</si>
  <si>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</si>
  <si>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</si>
  <si>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</si>
  <si>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</si>
  <si>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</si>
  <si>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</si>
  <si>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</si>
  <si>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</si>
  <si>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</si>
  <si>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</si>
  <si>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</si>
  <si>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</si>
  <si>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</si>
  <si>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</si>
  <si>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</si>
  <si>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</si>
  <si>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</si>
  <si>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</si>
  <si>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</si>
  <si>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</si>
  <si>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</si>
  <si>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</si>
  <si>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</si>
  <si>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</si>
  <si>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</si>
  <si>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</si>
  <si>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</si>
  <si>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</si>
  <si>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</si>
  <si>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</si>
  <si>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</si>
  <si>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</si>
  <si>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</si>
  <si>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</si>
  <si>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</si>
  <si>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</si>
  <si>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</si>
  <si>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</si>
  <si>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</si>
  <si>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</si>
  <si>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</si>
  <si>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</si>
  <si>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</si>
  <si>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</si>
  <si>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</si>
  <si>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</si>
  <si>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</si>
  <si>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</si>
  <si>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</si>
  <si>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</si>
  <si>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</si>
  <si>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</si>
  <si>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</si>
  <si>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</si>
  <si>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</si>
  <si>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</si>
  <si>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</si>
  <si>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</si>
  <si>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</si>
  <si>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</si>
  <si>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</si>
  <si>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</si>
  <si>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</si>
  <si>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</si>
  <si>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</si>
  <si>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</si>
  <si>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</si>
  <si>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</si>
  <si>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</si>
  <si>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</si>
  <si>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</si>
  <si>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</si>
  <si>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</si>
  <si>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</si>
  <si>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</si>
  <si>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</si>
  <si>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</si>
  <si>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</si>
  <si>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</si>
  <si>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</si>
  <si>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</si>
  <si>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</si>
  <si>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</si>
  <si>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</si>
  <si>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</si>
  <si>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</si>
  <si>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</si>
  <si>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</si>
  <si>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</si>
  <si>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</si>
  <si>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</si>
  <si>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</si>
  <si>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</si>
  <si>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</si>
  <si>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</si>
  <si>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</si>
  <si>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</si>
  <si>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</si>
  <si>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</si>
  <si>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</si>
  <si>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</si>
  <si>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</si>
  <si>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</si>
  <si>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</si>
  <si>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</si>
  <si>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</si>
  <si>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</si>
  <si>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</si>
  <si>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</si>
  <si>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</si>
  <si>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</si>
  <si>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</si>
  <si>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</si>
  <si>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</si>
  <si>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</si>
  <si>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</si>
  <si>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</si>
  <si>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</si>
  <si>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</si>
  <si>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</si>
  <si>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</si>
  <si>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</si>
  <si>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</si>
  <si>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</si>
  <si>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</si>
  <si>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</si>
  <si>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</si>
  <si>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</si>
  <si>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</si>
  <si>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</si>
  <si>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</si>
  <si>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</si>
  <si>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</si>
  <si>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</si>
  <si>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</si>
  <si>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</si>
  <si>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</si>
  <si>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</si>
  <si>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</si>
  <si>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</si>
  <si>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</si>
  <si>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</si>
  <si>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</si>
  <si>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</si>
  <si>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</si>
  <si>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</si>
  <si>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</si>
  <si>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</si>
  <si>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</si>
  <si>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</si>
  <si>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</si>
  <si>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</si>
  <si>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</si>
  <si>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</si>
  <si>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</si>
  <si>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</si>
  <si>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</si>
  <si>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</si>
  <si>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</si>
  <si>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</si>
  <si>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</si>
  <si>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</si>
  <si>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</si>
  <si>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</si>
  <si>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</si>
  <si>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</si>
  <si>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</si>
  <si>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</si>
  <si>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</si>
  <si>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</si>
  <si>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</si>
  <si>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</si>
  <si>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</si>
  <si>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</si>
  <si>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</si>
  <si>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</si>
  <si>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</si>
  <si>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</si>
  <si>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</si>
  <si>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</si>
  <si>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</si>
  <si>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</si>
  <si>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</si>
  <si>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</si>
  <si>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</si>
  <si>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</si>
  <si>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</si>
  <si>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</si>
  <si>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</si>
  <si>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</si>
  <si>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</si>
  <si>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</si>
  <si>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</si>
  <si>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</si>
  <si>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</si>
  <si>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</si>
  <si>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</si>
  <si>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</si>
  <si>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</si>
  <si>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</si>
  <si>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</si>
  <si>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</si>
  <si>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</si>
  <si>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</si>
  <si>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</si>
  <si>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</si>
  <si>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</si>
  <si>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</si>
  <si>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</si>
  <si>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</si>
  <si>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</si>
  <si>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</si>
  <si>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</si>
  <si>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</si>
  <si>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</si>
  <si>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</si>
  <si>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</si>
  <si>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</si>
  <si>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</si>
  <si>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</si>
  <si>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</si>
  <si>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</si>
  <si>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</si>
  <si>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</si>
  <si>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</si>
  <si>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</si>
  <si>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</si>
  <si>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</si>
  <si>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</si>
  <si>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</si>
  <si>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</si>
  <si>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</si>
  <si>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</si>
  <si>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</si>
  <si>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</si>
  <si>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</si>
  <si>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</si>
  <si>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</si>
  <si>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</si>
  <si>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</si>
  <si>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</si>
  <si>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</si>
  <si>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</si>
  <si>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</si>
  <si>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</si>
  <si>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</si>
  <si>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</si>
  <si>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</si>
  <si>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</si>
  <si>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</si>
  <si>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</si>
  <si>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</si>
  <si>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</si>
  <si>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</si>
  <si>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</si>
  <si>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</si>
  <si>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</si>
  <si>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</si>
  <si>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</si>
  <si>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</si>
  <si>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</si>
  <si>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</si>
  <si>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</si>
  <si>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</si>
  <si>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</si>
  <si>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</si>
  <si>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</si>
  <si>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</si>
  <si>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</si>
  <si>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</si>
  <si>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</si>
  <si>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</si>
  <si>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</si>
  <si>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</si>
  <si>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</si>
  <si>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</si>
  <si>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</si>
  <si>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</si>
  <si>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</si>
  <si>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</si>
  <si>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</si>
  <si>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</si>
  <si>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</si>
  <si>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</si>
  <si>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</si>
  <si>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</si>
  <si>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</si>
  <si>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</si>
  <si>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</si>
  <si>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</si>
  <si>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</si>
  <si>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</si>
  <si>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</si>
  <si>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</si>
  <si>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</si>
  <si>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</si>
  <si>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</si>
  <si>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</si>
  <si>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</si>
  <si>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</si>
  <si>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</si>
  <si>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</si>
  <si>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</si>
  <si>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</si>
  <si>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</si>
  <si>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</si>
  <si>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</si>
  <si>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</si>
  <si>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</si>
  <si>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</si>
  <si>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</si>
  <si>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</si>
  <si>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</si>
  <si>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</si>
  <si>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</si>
  <si>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</si>
  <si>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</si>
  <si>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</si>
  <si>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</si>
  <si>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</si>
  <si>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</si>
  <si>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</si>
  <si>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</si>
  <si>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</si>
  <si>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</si>
  <si>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</si>
  <si>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</si>
  <si>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</si>
  <si>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</si>
  <si>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</si>
  <si>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</si>
  <si>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</si>
  <si>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</si>
  <si>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</si>
  <si>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</si>
  <si>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</si>
  <si>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</si>
  <si>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</si>
  <si>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</si>
  <si>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</si>
  <si>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</si>
  <si>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</si>
  <si>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</si>
  <si>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</si>
  <si>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</si>
  <si>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</si>
  <si>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</si>
  <si>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</si>
  <si>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</si>
  <si>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</si>
  <si>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</si>
  <si>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</si>
  <si>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</si>
  <si>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</si>
  <si>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</si>
  <si>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</si>
  <si>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</si>
  <si>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</si>
  <si>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</si>
  <si>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</si>
  <si>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</si>
  <si>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</si>
  <si>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</si>
  <si>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</si>
  <si>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</si>
  <si>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</si>
  <si>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</si>
  <si>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</si>
  <si>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</si>
  <si>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</si>
  <si>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</si>
  <si>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</si>
  <si>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</si>
  <si>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</si>
  <si>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</si>
  <si>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</si>
  <si>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</si>
  <si>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</si>
  <si>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</si>
  <si>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</si>
  <si>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</si>
  <si>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</si>
  <si>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</si>
  <si>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</si>
  <si>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</si>
  <si>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</si>
  <si>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</si>
  <si>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</si>
  <si>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</si>
  <si>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</si>
  <si>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</si>
  <si>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</si>
  <si>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</si>
  <si>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</si>
  <si>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</si>
  <si>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</si>
  <si>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</si>
  <si>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</si>
  <si>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</si>
  <si>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</si>
  <si>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</si>
  <si>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</si>
  <si>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</si>
  <si>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</si>
  <si>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</si>
  <si>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</si>
  <si>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</si>
  <si>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</si>
  <si>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</si>
  <si>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</si>
  <si>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</si>
  <si>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</si>
  <si>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</si>
  <si>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</si>
  <si>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</si>
  <si>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</si>
  <si>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</si>
  <si>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</si>
  <si>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</si>
  <si>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</si>
  <si>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</si>
  <si>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</si>
  <si>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</si>
  <si>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</si>
  <si>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</si>
  <si>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</si>
  <si>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</si>
  <si>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</si>
  <si>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</si>
  <si>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</si>
  <si>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</si>
  <si>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</si>
  <si>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</si>
  <si>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</si>
  <si>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</si>
  <si>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</si>
  <si>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</si>
  <si>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</si>
  <si>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</si>
  <si>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</si>
  <si>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</si>
  <si>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</si>
  <si>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</si>
  <si>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</si>
  <si>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</si>
  <si>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</si>
  <si>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</si>
  <si>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</si>
  <si>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</si>
  <si>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</si>
  <si>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</si>
  <si>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</si>
  <si>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</si>
  <si>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</si>
  <si>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</si>
  <si>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</si>
  <si>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</si>
  <si>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</si>
  <si>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</si>
  <si>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</si>
  <si>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</si>
  <si>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</si>
  <si>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</si>
  <si>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</si>
  <si>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</si>
  <si>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</si>
  <si>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</si>
  <si>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</si>
  <si>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</si>
  <si>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</si>
  <si>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</si>
  <si>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</si>
  <si>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</si>
  <si>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</si>
  <si>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</si>
  <si>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</si>
  <si>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</si>
  <si>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</si>
  <si>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</si>
  <si>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</si>
  <si>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</si>
  <si>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</si>
  <si>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</si>
  <si>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</si>
  <si>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</si>
  <si>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</si>
  <si>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</si>
  <si>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</si>
  <si>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</si>
  <si>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</si>
  <si>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</si>
  <si>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</si>
  <si>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</si>
  <si>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</si>
  <si>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</si>
  <si>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</si>
  <si>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</si>
  <si>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</si>
  <si>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</si>
  <si>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</si>
  <si>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</si>
  <si>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</si>
  <si>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</si>
  <si>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</si>
  <si>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</si>
  <si>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</si>
  <si>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</si>
  <si>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</si>
  <si>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</si>
  <si>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</si>
  <si>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</si>
  <si>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</si>
  <si>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</si>
  <si>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</si>
  <si>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</si>
  <si>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</si>
  <si>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</si>
  <si>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</si>
  <si>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</si>
  <si>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</si>
  <si>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</si>
  <si>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</si>
  <si>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</si>
  <si>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</si>
  <si>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</si>
  <si>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</si>
  <si>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</si>
  <si>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</si>
  <si>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</si>
  <si>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</si>
  <si>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</si>
  <si>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</si>
  <si>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</si>
  <si>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</si>
  <si>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</si>
  <si>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</si>
  <si>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</si>
  <si>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</si>
  <si>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</si>
  <si>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</si>
  <si>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</si>
  <si>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</si>
  <si>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</si>
  <si>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</si>
  <si>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</si>
  <si>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</si>
  <si>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</si>
  <si>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</si>
  <si>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</si>
  <si>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</si>
  <si>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</si>
  <si>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</si>
  <si>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</si>
  <si>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</si>
  <si>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</si>
  <si>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</si>
  <si>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</si>
  <si>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</si>
  <si>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</si>
  <si>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</si>
  <si>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</si>
  <si>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</si>
  <si>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</si>
  <si>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</si>
  <si>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</si>
  <si>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</si>
  <si>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</si>
  <si>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</si>
  <si>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</si>
  <si>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</si>
  <si>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</si>
  <si>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</si>
  <si>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</si>
  <si>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</si>
  <si>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</si>
  <si>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</si>
  <si>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</si>
  <si>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</si>
  <si>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</si>
  <si>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</si>
  <si>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</si>
  <si>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</si>
  <si>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</si>
  <si>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</si>
  <si>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</si>
  <si>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</si>
  <si>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</si>
  <si>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</si>
  <si>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</si>
  <si>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</si>
  <si>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</si>
  <si>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</si>
  <si>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</si>
  <si>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</si>
  <si>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</si>
  <si>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</si>
  <si>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</si>
  <si>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</si>
  <si>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</si>
  <si>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</si>
  <si>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</si>
  <si>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</si>
  <si>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</si>
  <si>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</si>
  <si>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</si>
  <si>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</si>
  <si>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</si>
  <si>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</si>
  <si>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</si>
  <si>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</si>
  <si>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</si>
  <si>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</si>
  <si>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</si>
  <si>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</si>
  <si>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</si>
  <si>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</si>
  <si>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</si>
  <si>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</si>
  <si>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</si>
  <si>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</si>
  <si>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</si>
  <si>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</si>
  <si>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</si>
  <si>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</si>
  <si>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</si>
  <si>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</si>
  <si>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</si>
  <si>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</si>
  <si>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</si>
  <si>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</si>
  <si>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</si>
  <si>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</si>
  <si>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</si>
  <si>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</si>
  <si>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</si>
  <si>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</si>
  <si>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</si>
  <si>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</si>
  <si>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</si>
  <si>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</si>
  <si>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</si>
  <si>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</si>
  <si>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</si>
  <si>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</si>
  <si>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</si>
  <si>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</si>
  <si>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</si>
  <si>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</si>
  <si>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</si>
  <si>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</si>
  <si>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</si>
  <si>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</si>
  <si>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</si>
  <si>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</si>
  <si>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</si>
  <si>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</si>
  <si>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</si>
  <si>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</si>
  <si>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</si>
  <si>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</si>
  <si>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</si>
  <si>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</si>
  <si>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</si>
  <si>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</si>
  <si>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</si>
  <si>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</si>
  <si>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</si>
  <si>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</si>
  <si>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</si>
  <si>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</si>
  <si>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</si>
  <si>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</si>
  <si>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</si>
  <si>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</si>
  <si>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</si>
  <si>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</si>
  <si>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</si>
  <si>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</si>
  <si>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</si>
  <si>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</si>
  <si>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</si>
  <si>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</si>
  <si>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</si>
  <si>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</si>
  <si>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</si>
  <si>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</si>
  <si>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</si>
  <si>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</si>
  <si>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</si>
  <si>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</si>
  <si>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</si>
  <si>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</si>
  <si>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</si>
  <si>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</si>
  <si>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</si>
  <si>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</si>
  <si>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</si>
  <si>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</si>
  <si>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</si>
  <si>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</si>
  <si>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</si>
  <si>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</si>
  <si>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</si>
  <si>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</si>
  <si>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</si>
  <si>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</si>
  <si>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</si>
  <si>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</si>
  <si>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</si>
  <si>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</si>
  <si>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</si>
  <si>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</si>
  <si>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</si>
  <si>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</si>
  <si>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</si>
  <si>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</si>
  <si>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</si>
  <si>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</si>
  <si>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</si>
  <si>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</si>
  <si>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</si>
  <si>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</si>
  <si>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</si>
  <si>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</si>
  <si>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</si>
  <si>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</si>
  <si>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</si>
  <si>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</si>
  <si>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</si>
  <si>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</si>
  <si>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</si>
  <si>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</si>
  <si>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</si>
  <si>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</si>
  <si>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</si>
  <si>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</si>
  <si>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</si>
  <si>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</si>
  <si>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</si>
  <si>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</si>
  <si>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</si>
  <si>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</si>
  <si>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</si>
  <si>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</si>
  <si>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</si>
  <si>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</si>
  <si>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</si>
  <si>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</si>
  <si>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</si>
  <si>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</si>
  <si>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</si>
  <si>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</si>
  <si>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</si>
  <si>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</si>
  <si>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</si>
  <si>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</si>
  <si>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</si>
  <si>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</si>
  <si>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</si>
  <si>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</si>
  <si>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</si>
  <si>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</si>
  <si>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</si>
  <si>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</si>
  <si>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</si>
  <si>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</si>
  <si>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</si>
  <si>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</si>
  <si>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</si>
  <si>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</si>
  <si>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</si>
  <si>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</si>
  <si>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</si>
  <si>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</si>
  <si>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</si>
  <si>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</si>
  <si>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</si>
  <si>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</si>
  <si>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</si>
  <si>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</si>
  <si>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</si>
  <si>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</si>
  <si>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</si>
  <si>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</si>
  <si>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</si>
  <si>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</si>
  <si>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</si>
  <si>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</si>
  <si>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</si>
  <si>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</si>
  <si>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</si>
  <si>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</si>
  <si>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</si>
  <si>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</si>
  <si>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</si>
  <si>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</si>
  <si>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</si>
  <si>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</si>
  <si>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</si>
  <si>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</si>
  <si>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</si>
  <si>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</si>
  <si>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</si>
  <si>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</si>
  <si>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</si>
  <si>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</si>
  <si>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</si>
  <si>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</si>
  <si>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</si>
  <si>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</si>
  <si>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</si>
  <si>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</si>
  <si>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</si>
  <si>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</si>
  <si>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</si>
  <si>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</si>
  <si>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</si>
  <si>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</si>
  <si>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</si>
  <si>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</si>
  <si>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</si>
  <si>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</si>
  <si>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</si>
  <si>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</si>
  <si>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</si>
  <si>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</si>
  <si>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</si>
  <si>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</si>
  <si>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</si>
  <si>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</si>
  <si>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</si>
  <si>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</si>
  <si>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</si>
  <si>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</si>
  <si>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</si>
  <si>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</si>
  <si>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</si>
  <si>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</si>
  <si>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</si>
  <si>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</si>
  <si>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</si>
  <si>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</si>
  <si>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</si>
  <si>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</si>
  <si>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</si>
  <si>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</si>
  <si>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</si>
  <si>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</si>
  <si>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</si>
  <si>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</si>
  <si>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</si>
  <si>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</si>
  <si>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</si>
  <si>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</si>
  <si>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</si>
  <si>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</si>
  <si>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</si>
  <si>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</si>
  <si>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</si>
  <si>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</si>
  <si>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</si>
  <si>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12/02</t>
  </si>
  <si>
    <t>10/22</t>
  </si>
  <si>
    <t xml:space="preserve">           Barrington School District  SAU #74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</si>
</sst>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0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23">
    <xf numFmtId="0" fontId="0" fillId="0" borderId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15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33</v>
      </c>
      <c r="C2" s="21">
        <v>33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1786390.4</v>
      </c>
      <c r="G9" s="18"/>
      <c r="H9" s="18">
        <v>541139.81000000006</v>
      </c>
      <c r="I9" s="18"/>
      <c r="J9" s="67">
        <f>SUM(I439)</f>
        <v>1399047.24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6964.31</v>
      </c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7505.6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29243.5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f>281176.6+24000</f>
        <v>305176.59999999998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2098531.31</v>
      </c>
      <c r="G19" s="41">
        <f>SUM(G9:G18)</f>
        <v>36749.1</v>
      </c>
      <c r="H19" s="41">
        <f>SUM(H9:H18)</f>
        <v>541139.81000000006</v>
      </c>
      <c r="I19" s="41">
        <f>SUM(I9:I18)</f>
        <v>0</v>
      </c>
      <c r="J19" s="41">
        <f>SUM(J9:J18)</f>
        <v>1399047.24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152588.29999999999</v>
      </c>
      <c r="G22" s="18">
        <v>23334.53</v>
      </c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91152.39</v>
      </c>
      <c r="G24" s="18"/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f>221529.02+29103.24+44318.2+6964.31</f>
        <v>301914.76999999996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>
        <v>9523.5300000000007</v>
      </c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545655.46</v>
      </c>
      <c r="G32" s="41">
        <f>SUM(G22:G31)</f>
        <v>32858.06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>
        <f>1654.85+2236.19</f>
        <v>3891.04</v>
      </c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250000</v>
      </c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426243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541139.81000000006</v>
      </c>
      <c r="I48" s="18"/>
      <c r="J48" s="13">
        <f>SUM(I459)</f>
        <v>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1399047.24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876632.85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1552875.85</v>
      </c>
      <c r="G51" s="41">
        <f>SUM(G35:G50)</f>
        <v>3891.04</v>
      </c>
      <c r="H51" s="41">
        <f>SUM(H35:H50)</f>
        <v>541139.81000000006</v>
      </c>
      <c r="I51" s="41">
        <f>SUM(I35:I50)</f>
        <v>0</v>
      </c>
      <c r="J51" s="41">
        <f>SUM(J35:J50)</f>
        <v>1399047.24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2098531.31</v>
      </c>
      <c r="G52" s="41">
        <f>G51+G32</f>
        <v>36749.1</v>
      </c>
      <c r="H52" s="41">
        <f>H51+H32</f>
        <v>541139.81000000006</v>
      </c>
      <c r="I52" s="41">
        <f>I51+I32</f>
        <v>0</v>
      </c>
      <c r="J52" s="41">
        <f>J51+J32</f>
        <v>1399047.24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14946437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14946437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62584.17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3185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65769.17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/>
      <c r="G96" s="18"/>
      <c r="H96" s="18"/>
      <c r="I96" s="18"/>
      <c r="J96" s="18">
        <v>6320.02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182043.79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233073.37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233073.37</v>
      </c>
      <c r="G111" s="41">
        <f>SUM(G96:G110)</f>
        <v>182043.79</v>
      </c>
      <c r="H111" s="41">
        <f>SUM(H96:H110)</f>
        <v>0</v>
      </c>
      <c r="I111" s="41">
        <f>SUM(I96:I110)</f>
        <v>0</v>
      </c>
      <c r="J111" s="41">
        <f>SUM(J96:J110)</f>
        <v>6320.02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15245279.539999999</v>
      </c>
      <c r="G112" s="41">
        <f>G60+G111</f>
        <v>182043.79</v>
      </c>
      <c r="H112" s="41">
        <f>H60+H79+H94+H111</f>
        <v>0</v>
      </c>
      <c r="I112" s="41">
        <f>I60+I111</f>
        <v>0</v>
      </c>
      <c r="J112" s="41">
        <f>J60+J111</f>
        <v>6320.02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4117384.81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2093196.48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3831.72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6214413.0099999998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231529.27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156820.56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4013.01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388349.82999999996</v>
      </c>
      <c r="G136" s="41">
        <f>SUM(G123:G135)</f>
        <v>4013.01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6602762.8399999999</v>
      </c>
      <c r="G140" s="41">
        <f>G121+SUM(G136:G137)</f>
        <v>4013.01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67465.44+12500+10500+42942.8</f>
        <v>133408.24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12448.94+204741.53+22412.66+76450.93+66569.22</f>
        <v>382623.28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81943.01+347.99</f>
        <v>82291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294263.37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24000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318263.37</v>
      </c>
      <c r="G162" s="41">
        <f>SUM(G150:G161)</f>
        <v>82291</v>
      </c>
      <c r="H162" s="41">
        <f>SUM(H150:H161)</f>
        <v>516031.52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318263.37</v>
      </c>
      <c r="G169" s="41">
        <f>G147+G162+SUM(G163:G168)</f>
        <v>82291</v>
      </c>
      <c r="H169" s="41">
        <f>H147+H162+SUM(H163:H168)</f>
        <v>516031.52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/>
      <c r="J179" s="18">
        <v>300000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300000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300000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22166305.75</v>
      </c>
      <c r="G193" s="47">
        <f>G112+G140+G169+G192</f>
        <v>268347.80000000005</v>
      </c>
      <c r="H193" s="47">
        <f>H112+H140+H169+H192</f>
        <v>516031.52</v>
      </c>
      <c r="I193" s="47">
        <f>I112+I140+I169+I192</f>
        <v>0</v>
      </c>
      <c r="J193" s="47">
        <f>J112+J140+J192</f>
        <v>306320.02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1335117.36+229712.41+89.78+10200+110330.72+42107.71+17857+61778.47-324-806.71+1113.33</f>
        <v>1807176.07</v>
      </c>
      <c r="G197" s="18">
        <f>451423.53+83559.08+12951.75+1429.7+933+360+3214.81+835.32+102357.46+26482.28+210351.79+48158.56+3770+343+22790.92</f>
        <v>968961.20000000007</v>
      </c>
      <c r="H197" s="18">
        <f>8759.81+2662.4+184.5</f>
        <v>11606.71</v>
      </c>
      <c r="I197" s="18">
        <f>84.88+19062.15+7752.31+800+384.11+11477.22+10537.93+500+304.32+10307.71+353.23+311.55+2544.9+998.21+4521.09+400+773.59+506.98+433.66+3510.13+1444.19+25862.61</f>
        <v>102870.77000000002</v>
      </c>
      <c r="J197" s="18">
        <f>1010.97+124.99+4786.09</f>
        <v>5922.05</v>
      </c>
      <c r="K197" s="18"/>
      <c r="L197" s="19">
        <f>SUM(F197:K197)</f>
        <v>2896536.8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26221.68+244501.02+40015.41+262121.03+87273.49+543+1432+15028.03+5070</f>
        <v>682205.66</v>
      </c>
      <c r="G198" s="18">
        <f>191283.51+25259.34+3219.99+612+186+1239.62+284.68+37769.5+10579.55+67573.18+13833.07+1600+344</f>
        <v>353784.44</v>
      </c>
      <c r="H198" s="18">
        <f>73635.04+27722.48+16495.1</f>
        <v>117852.62</v>
      </c>
      <c r="I198" s="18">
        <f>4630.85+2496.97+3001.05+578.78</f>
        <v>10707.65</v>
      </c>
      <c r="J198" s="18">
        <f>1729.54+48.96+4125+3023.2+3727.85</f>
        <v>12654.550000000001</v>
      </c>
      <c r="K198" s="18"/>
      <c r="L198" s="19">
        <f>SUM(F198:K198)</f>
        <v>1177204.9200000002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100900.02+35099.96+57898.1+24873.87+246521.03</f>
        <v>465292.98</v>
      </c>
      <c r="G202" s="18">
        <f>8000+662.58+72+248.52+8238.21+15883.02+682+72+221.42+2631.81+4324.2+3277.92+9147.95+216+420+12763.51+36+61.9+1365.11+2782.48+184+109879.37</f>
        <v>181169.99999999997</v>
      </c>
      <c r="H202" s="18">
        <f>188+188+14585.08</f>
        <v>14961.08</v>
      </c>
      <c r="I202" s="18">
        <f>633.34+142.85+1276.78+706.05+4147.17</f>
        <v>6906.1900000000005</v>
      </c>
      <c r="J202" s="18">
        <f>512.25+512.25</f>
        <v>1024.5</v>
      </c>
      <c r="K202" s="18">
        <f>4492.08</f>
        <v>4492.08</v>
      </c>
      <c r="L202" s="19">
        <f t="shared" ref="L202:L208" si="0">SUM(F202:K202)</f>
        <v>673846.82999999984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62833.94+46999.94+45383.1-8358</f>
        <v>146858.98000000001</v>
      </c>
      <c r="G203" s="18">
        <f>17769.68+498.51+36+156.62+4636.06+9927.88+457+28429.32+1325.36+36+116.12+3330.09+7426.1+895+9158.72</f>
        <v>84198.46</v>
      </c>
      <c r="H203" s="18">
        <f>26807.94+64331.06</f>
        <v>91139</v>
      </c>
      <c r="I203" s="18">
        <f>735.5-202.74+6661.87+3099.01+2881.09+1270.45+1059.95+925</f>
        <v>16430.13</v>
      </c>
      <c r="J203" s="18">
        <f>984+17876+28556+13458+1180.58+11950.75+1536.96+2852.5</f>
        <v>78394.790000000008</v>
      </c>
      <c r="K203" s="18">
        <f>17430.71</f>
        <v>17430.71</v>
      </c>
      <c r="L203" s="19">
        <f t="shared" si="0"/>
        <v>434452.07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124269.88</v>
      </c>
      <c r="G204" s="18">
        <v>53175.13</v>
      </c>
      <c r="H204" s="18">
        <v>32657.59</v>
      </c>
      <c r="I204" s="18">
        <v>1924.13</v>
      </c>
      <c r="J204" s="18">
        <v>645.94000000000005</v>
      </c>
      <c r="K204" s="18">
        <v>4337.1499999999996</v>
      </c>
      <c r="L204" s="19">
        <f t="shared" si="0"/>
        <v>217009.82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92702.74+80999.88+75548.2+65180.7+29677.96</f>
        <v>344109.48000000004</v>
      </c>
      <c r="G205" s="18">
        <f>60580.72+32432.36+2249.9+1499.88+144+72+580.54+273.74+16558.06+6970.39+33645.56+16007.68+1734+793</f>
        <v>173541.83</v>
      </c>
      <c r="H205" s="18">
        <f>6158.11+2931.19+237+185+737.62+1051.49</f>
        <v>11300.41</v>
      </c>
      <c r="I205" s="18">
        <f>579.95+523.43</f>
        <v>1103.3800000000001</v>
      </c>
      <c r="J205" s="18">
        <f>9498.95+2840.11</f>
        <v>12339.060000000001</v>
      </c>
      <c r="K205" s="18">
        <f>693+810</f>
        <v>1503</v>
      </c>
      <c r="L205" s="19">
        <f t="shared" si="0"/>
        <v>543897.16000000015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f>38662.61-904.3</f>
        <v>37758.31</v>
      </c>
      <c r="G206" s="18">
        <v>24347.759999999998</v>
      </c>
      <c r="H206" s="18">
        <v>4729.91</v>
      </c>
      <c r="I206" s="18">
        <v>564.54</v>
      </c>
      <c r="J206" s="18"/>
      <c r="K206" s="18"/>
      <c r="L206" s="19">
        <f t="shared" si="0"/>
        <v>67400.51999999999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114402.81+9419+86907.47</f>
        <v>210729.28</v>
      </c>
      <c r="G207" s="18">
        <f>34062.79+1504.51+145.5+286.17+10033.16+12405.08+4636+33924.51</f>
        <v>96997.72</v>
      </c>
      <c r="H207" s="18">
        <f>948+1689.5+13427+8278+1300+795+8119+5579+4128+1560+90326.14+12734.98+900+450+35403.77+99209.96+1756.48</f>
        <v>286604.83</v>
      </c>
      <c r="I207" s="18">
        <f>14335.39+5184.03+3260.57+44239.64+12993.43+33074.5+18987.23</f>
        <v>132074.79</v>
      </c>
      <c r="J207" s="18">
        <f>68304.59/2</f>
        <v>34152.294999999998</v>
      </c>
      <c r="K207" s="18"/>
      <c r="L207" s="19">
        <f t="shared" si="0"/>
        <v>760558.91500000015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 t="s">
        <v>286</v>
      </c>
      <c r="G208" s="18"/>
      <c r="H208" s="18">
        <f>6565+229092.27+84551.92+81407.66+4517.23+1327.2</f>
        <v>407461.27999999997</v>
      </c>
      <c r="I208" s="18"/>
      <c r="J208" s="18"/>
      <c r="K208" s="18"/>
      <c r="L208" s="19">
        <f t="shared" si="0"/>
        <v>407461.27999999997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3818400.6399999997</v>
      </c>
      <c r="G211" s="41">
        <f t="shared" si="1"/>
        <v>1936176.54</v>
      </c>
      <c r="H211" s="41">
        <f t="shared" si="1"/>
        <v>978313.42999999993</v>
      </c>
      <c r="I211" s="41">
        <f t="shared" si="1"/>
        <v>272581.58000000007</v>
      </c>
      <c r="J211" s="41">
        <f t="shared" si="1"/>
        <v>145133.185</v>
      </c>
      <c r="K211" s="41">
        <f t="shared" si="1"/>
        <v>27762.940000000002</v>
      </c>
      <c r="L211" s="41">
        <f t="shared" si="1"/>
        <v>7178368.3150000004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1388323.13+36028.42+61778.47</f>
        <v>1486130.0199999998</v>
      </c>
      <c r="G215" s="18">
        <f>332253.53+9398.3+1008+3399+108513.85+218926.66+3770+22790.92</f>
        <v>700060.26000000013</v>
      </c>
      <c r="H215" s="18">
        <f>6827.81+122.5</f>
        <v>6950.31</v>
      </c>
      <c r="I215" s="18">
        <f>5814.43+1171.82+96.5+559.33+638.68+3200.23+908.13+1557.15+5284.54+5617.67+1057.21+818.37+3041.48+2410.05+14427.58+25862.61</f>
        <v>72465.78</v>
      </c>
      <c r="J215" s="18">
        <f>280.87</f>
        <v>280.87</v>
      </c>
      <c r="K215" s="18">
        <f>1497</f>
        <v>1497</v>
      </c>
      <c r="L215" s="19">
        <f>SUM(F215:K215)</f>
        <v>2267384.2399999998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276052.08+419617.75+12328.31+80+15065</f>
        <v>723143.14000000013</v>
      </c>
      <c r="G216" s="18">
        <f>234615.16+3029.15+876+1672.43+2077.5+53255.55+162.75+88859.41+1600</f>
        <v>386147.94999999995</v>
      </c>
      <c r="H216" s="18">
        <f>170398.62+27722.48</f>
        <v>198121.1</v>
      </c>
      <c r="I216" s="18">
        <f>1738.72+7955.72</f>
        <v>9694.44</v>
      </c>
      <c r="J216" s="18">
        <f>3200+4359.12</f>
        <v>7559.12</v>
      </c>
      <c r="K216" s="18"/>
      <c r="L216" s="19">
        <f>SUM(F216:K216)</f>
        <v>1324665.7500000002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f>16300+29800</f>
        <v>46100</v>
      </c>
      <c r="G218" s="18">
        <f>1246.96+1876.8+2279.7+3807.13</f>
        <v>9210.59</v>
      </c>
      <c r="H218" s="18">
        <f>8509.5</f>
        <v>8509.5</v>
      </c>
      <c r="I218" s="18">
        <f>5051.21</f>
        <v>5051.21</v>
      </c>
      <c r="J218" s="18"/>
      <c r="K218" s="18">
        <f>817.5</f>
        <v>817.5</v>
      </c>
      <c r="L218" s="19">
        <f>SUM(F218:K218)</f>
        <v>69688.800000000003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97899.88+49140.5+24771.33+246521.03</f>
        <v>418332.74</v>
      </c>
      <c r="G220" s="18">
        <f>32931.65+1046.2+72+241.5+7152.84+15468.06+668+45438.62+1043.16+39+104.56+4054.82+7761.52+304+36+61.32+1895.06+2770.97+183+109879.37</f>
        <v>231151.65000000002</v>
      </c>
      <c r="H220" s="18">
        <f>188+14585.08</f>
        <v>14773.08</v>
      </c>
      <c r="I220" s="18">
        <f>340.96+1183.82+4147.17</f>
        <v>5671.95</v>
      </c>
      <c r="J220" s="18">
        <f>549.35</f>
        <v>549.35</v>
      </c>
      <c r="K220" s="18">
        <f>4492.08</f>
        <v>4492.08</v>
      </c>
      <c r="L220" s="19">
        <f t="shared" ref="L220:L226" si="2">SUM(F220:K220)</f>
        <v>674970.84999999986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59907.73+46999.94+45383.1</f>
        <v>152290.77000000002</v>
      </c>
      <c r="G221" s="18">
        <f>17769.68+498.51+36+125.48+4412.15+9454.57+383+19551.32+36+116.12+3329.3+7426.1+9158.72</f>
        <v>72296.95</v>
      </c>
      <c r="H221" s="18">
        <f>26807.94+64331.06</f>
        <v>91139</v>
      </c>
      <c r="I221" s="18">
        <f>743.37+5609.11+3275.01+3968.95+2806.32</f>
        <v>16402.759999999998</v>
      </c>
      <c r="J221" s="18">
        <f>986.37+17865.96+18885.25+1480.28+97963.15+2852.5</f>
        <v>140033.51</v>
      </c>
      <c r="K221" s="18">
        <f>17430.71</f>
        <v>17430.71</v>
      </c>
      <c r="L221" s="19">
        <f t="shared" si="2"/>
        <v>489593.70000000007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124269.88</v>
      </c>
      <c r="G222" s="18">
        <v>53175.13</v>
      </c>
      <c r="H222" s="18">
        <v>32657.59</v>
      </c>
      <c r="I222" s="18">
        <v>1924.13</v>
      </c>
      <c r="J222" s="18">
        <v>645.94000000000005</v>
      </c>
      <c r="K222" s="18">
        <v>4337.1499999999996</v>
      </c>
      <c r="L222" s="19">
        <f t="shared" si="2"/>
        <v>217009.82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88853.18+83076.76+60721.72</f>
        <v>232651.66</v>
      </c>
      <c r="G223" s="18">
        <f>21728.24+1441.81+141+537.35+18040.57+33723.72+1707</f>
        <v>77319.69</v>
      </c>
      <c r="H223" s="18">
        <f>150+1683.83+8363.85</f>
        <v>10197.68</v>
      </c>
      <c r="I223" s="18">
        <f>754</f>
        <v>754</v>
      </c>
      <c r="J223" s="18">
        <f>9692.5</f>
        <v>9692.5</v>
      </c>
      <c r="K223" s="18">
        <f>401.5+904</f>
        <v>1305.5</v>
      </c>
      <c r="L223" s="19">
        <f t="shared" si="2"/>
        <v>331921.02999999997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f>38662.61-904.3</f>
        <v>37758.31</v>
      </c>
      <c r="G224" s="18">
        <v>24347.759999999998</v>
      </c>
      <c r="H224" s="18">
        <v>4729.91</v>
      </c>
      <c r="I224" s="18">
        <v>564.54</v>
      </c>
      <c r="J224" s="18"/>
      <c r="K224" s="18"/>
      <c r="L224" s="19">
        <f t="shared" si="2"/>
        <v>67400.51999999999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114402.56+8644.32+86907.47</f>
        <v>209954.35</v>
      </c>
      <c r="G225" s="18">
        <f>34062.79+1504.54+145.5+286.17+8570.92+11568.04+4636+33924.51</f>
        <v>94698.47</v>
      </c>
      <c r="H225" s="18">
        <f>1675+711+22680+2000+5120.5+4128+62729.98+450+35403.77+4005.17+99209.96+1756.48</f>
        <v>239869.86000000002</v>
      </c>
      <c r="I225" s="18">
        <f>29146.38+113128.45+14830+29950.3</f>
        <v>187055.12999999998</v>
      </c>
      <c r="J225" s="18">
        <f>68304.59/2</f>
        <v>34152.294999999998</v>
      </c>
      <c r="K225" s="18"/>
      <c r="L225" s="19">
        <f t="shared" si="2"/>
        <v>765730.1050000001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229092.07+87810.25+3780.33+7603.3</f>
        <v>328285.95</v>
      </c>
      <c r="I226" s="18"/>
      <c r="J226" s="18"/>
      <c r="K226" s="18"/>
      <c r="L226" s="19">
        <f t="shared" si="2"/>
        <v>328285.95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3430630.8700000006</v>
      </c>
      <c r="G229" s="41">
        <f>SUM(G215:G228)</f>
        <v>1648408.45</v>
      </c>
      <c r="H229" s="41">
        <f>SUM(H215:H228)</f>
        <v>935233.98</v>
      </c>
      <c r="I229" s="41">
        <f>SUM(I215:I228)</f>
        <v>299583.93999999994</v>
      </c>
      <c r="J229" s="41">
        <f>SUM(J215:J228)</f>
        <v>192913.58500000002</v>
      </c>
      <c r="K229" s="41">
        <f t="shared" si="3"/>
        <v>29879.940000000002</v>
      </c>
      <c r="L229" s="41">
        <f t="shared" si="3"/>
        <v>6536650.7650000006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f>2547558.58+1475804.24+1520926.17</f>
        <v>5544288.9900000002</v>
      </c>
      <c r="I233" s="18"/>
      <c r="J233" s="18"/>
      <c r="K233" s="18"/>
      <c r="L233" s="19">
        <f>SUM(F233:K233)</f>
        <v>5544288.9900000002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2318.25</v>
      </c>
      <c r="G234" s="18">
        <f>177.34</f>
        <v>177.34</v>
      </c>
      <c r="H234" s="18">
        <f>362990.67+69039.43+301324.47</f>
        <v>733354.57</v>
      </c>
      <c r="I234" s="18"/>
      <c r="J234" s="18"/>
      <c r="K234" s="18"/>
      <c r="L234" s="19">
        <f>SUM(F234:K234)</f>
        <v>735850.15999999992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f>1275</f>
        <v>1275</v>
      </c>
      <c r="I235" s="18"/>
      <c r="J235" s="18"/>
      <c r="K235" s="18"/>
      <c r="L235" s="19">
        <f>SUM(F235:K235)</f>
        <v>1275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124269.88</v>
      </c>
      <c r="G240" s="18">
        <v>53175.13</v>
      </c>
      <c r="H240" s="18">
        <v>32657.59</v>
      </c>
      <c r="I240" s="18">
        <v>1924.13</v>
      </c>
      <c r="J240" s="18">
        <v>645.94000000000005</v>
      </c>
      <c r="K240" s="18">
        <v>4337.1499999999996</v>
      </c>
      <c r="L240" s="19">
        <f t="shared" si="4"/>
        <v>217009.82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f>38662.61-904.3</f>
        <v>37758.31</v>
      </c>
      <c r="G242" s="18">
        <v>24347.759999999998</v>
      </c>
      <c r="H242" s="18">
        <v>4729.91</v>
      </c>
      <c r="I242" s="18">
        <v>564.54</v>
      </c>
      <c r="J242" s="18"/>
      <c r="K242" s="18"/>
      <c r="L242" s="19">
        <f t="shared" si="4"/>
        <v>67400.51999999999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137386.86+86858.97</f>
        <v>224245.83</v>
      </c>
      <c r="I244" s="18"/>
      <c r="J244" s="18"/>
      <c r="K244" s="18"/>
      <c r="L244" s="19">
        <f t="shared" si="4"/>
        <v>224245.83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164346.44</v>
      </c>
      <c r="G247" s="41">
        <f t="shared" si="5"/>
        <v>77700.23</v>
      </c>
      <c r="H247" s="41">
        <f t="shared" si="5"/>
        <v>6540551.8900000006</v>
      </c>
      <c r="I247" s="41">
        <f t="shared" si="5"/>
        <v>2488.67</v>
      </c>
      <c r="J247" s="41">
        <f t="shared" si="5"/>
        <v>645.94000000000005</v>
      </c>
      <c r="K247" s="41">
        <f t="shared" si="5"/>
        <v>4337.1499999999996</v>
      </c>
      <c r="L247" s="41">
        <f t="shared" si="5"/>
        <v>6790070.3200000003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>
        <f>130595.86+24000</f>
        <v>154595.85999999999</v>
      </c>
      <c r="I255" s="18"/>
      <c r="J255" s="18"/>
      <c r="K255" s="18"/>
      <c r="L255" s="19">
        <f t="shared" si="6"/>
        <v>154595.85999999999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154595.85999999999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154595.85999999999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7413377.9500000002</v>
      </c>
      <c r="G257" s="41">
        <f t="shared" si="8"/>
        <v>3662285.22</v>
      </c>
      <c r="H257" s="41">
        <f t="shared" si="8"/>
        <v>8608695.1600000001</v>
      </c>
      <c r="I257" s="41">
        <f t="shared" si="8"/>
        <v>574654.19000000006</v>
      </c>
      <c r="J257" s="41">
        <f t="shared" si="8"/>
        <v>338692.71</v>
      </c>
      <c r="K257" s="41">
        <f t="shared" si="8"/>
        <v>61980.030000000006</v>
      </c>
      <c r="L257" s="41">
        <f t="shared" si="8"/>
        <v>20659685.260000002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710000</v>
      </c>
      <c r="L260" s="19">
        <f>SUM(F260:K260)</f>
        <v>710000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215130</v>
      </c>
      <c r="L261" s="19">
        <f>SUM(F261:K261)</f>
        <v>215130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300000</v>
      </c>
      <c r="L266" s="19">
        <f t="shared" si="9"/>
        <v>300000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1225130</v>
      </c>
      <c r="L270" s="41">
        <f t="shared" si="9"/>
        <v>1225130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7413377.9500000002</v>
      </c>
      <c r="G271" s="42">
        <f t="shared" si="11"/>
        <v>3662285.22</v>
      </c>
      <c r="H271" s="42">
        <f t="shared" si="11"/>
        <v>8608695.1600000001</v>
      </c>
      <c r="I271" s="42">
        <f t="shared" si="11"/>
        <v>574654.19000000006</v>
      </c>
      <c r="J271" s="42">
        <f t="shared" si="11"/>
        <v>338692.71</v>
      </c>
      <c r="K271" s="42">
        <f t="shared" si="11"/>
        <v>1287110.03</v>
      </c>
      <c r="L271" s="42">
        <f t="shared" si="11"/>
        <v>21884815.260000002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58777.09+1303.52+2776</f>
        <v>62856.609999999993</v>
      </c>
      <c r="G276" s="18">
        <f>15460.92+90+121.6+4291.92+6534.8+312.1+154.51</f>
        <v>26965.85</v>
      </c>
      <c r="H276" s="18">
        <f>1556.79</f>
        <v>1556.79</v>
      </c>
      <c r="I276" s="18">
        <f>1744.76+5932.54+1669.33+2546.62+1762.29</f>
        <v>13655.54</v>
      </c>
      <c r="J276" s="18">
        <f>339.97</f>
        <v>339.97</v>
      </c>
      <c r="K276" s="18">
        <f>50</f>
        <v>50</v>
      </c>
      <c r="L276" s="19">
        <f>SUM(F276:K276)</f>
        <v>105424.75999999998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87799.84+39399.88</f>
        <v>127199.72</v>
      </c>
      <c r="G277" s="18">
        <f>17636.86+19551.32+383.52+268.18+30+60+82+182.8+2719.08+6503.04+6225.18+13817.14</f>
        <v>67459.12</v>
      </c>
      <c r="H277" s="18">
        <f>250</f>
        <v>250</v>
      </c>
      <c r="I277" s="18"/>
      <c r="J277" s="18"/>
      <c r="K277" s="18"/>
      <c r="L277" s="19">
        <f>SUM(F277:K277)</f>
        <v>194908.84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SUM(259+6600)/2</f>
        <v>3429.5</v>
      </c>
      <c r="G282" s="18"/>
      <c r="H282" s="18">
        <f>SUM(66500+16239.38+58254.66+7891.4)/2</f>
        <v>74442.720000000001</v>
      </c>
      <c r="I282" s="18">
        <f>SUM(144.48+878.28+4384.45)/2</f>
        <v>2703.605</v>
      </c>
      <c r="J282" s="18"/>
      <c r="K282" s="18"/>
      <c r="L282" s="19">
        <f t="shared" si="12"/>
        <v>80575.824999999997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v>3338.5</v>
      </c>
      <c r="I287" s="18"/>
      <c r="J287" s="18"/>
      <c r="K287" s="18"/>
      <c r="L287" s="19">
        <f t="shared" si="12"/>
        <v>3338.5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193485.83</v>
      </c>
      <c r="G290" s="42">
        <f t="shared" si="13"/>
        <v>94424.97</v>
      </c>
      <c r="H290" s="42">
        <f t="shared" si="13"/>
        <v>79588.009999999995</v>
      </c>
      <c r="I290" s="42">
        <f t="shared" si="13"/>
        <v>16359.145</v>
      </c>
      <c r="J290" s="42">
        <f t="shared" si="13"/>
        <v>339.97</v>
      </c>
      <c r="K290" s="42">
        <f t="shared" si="13"/>
        <v>50</v>
      </c>
      <c r="L290" s="41">
        <f t="shared" si="13"/>
        <v>384247.92499999999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41999.88</f>
        <v>41999.88</v>
      </c>
      <c r="G296" s="18">
        <f>1914.46+38.3+79.2+3022.88+6635.98</f>
        <v>11690.82</v>
      </c>
      <c r="H296" s="18">
        <f>250</f>
        <v>250</v>
      </c>
      <c r="I296" s="18"/>
      <c r="J296" s="18"/>
      <c r="K296" s="18"/>
      <c r="L296" s="19">
        <f>SUM(F296:K296)</f>
        <v>53940.7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SUM(259+6600)/2</f>
        <v>3429.5</v>
      </c>
      <c r="G301" s="18"/>
      <c r="H301" s="18">
        <f>SUM(66500+16239.38+58254.66+7891.4)/2</f>
        <v>74442.720000000001</v>
      </c>
      <c r="I301" s="18">
        <f>SUM(144.48+878.28+4384.45)/2</f>
        <v>2703.605</v>
      </c>
      <c r="J301" s="18"/>
      <c r="K301" s="18"/>
      <c r="L301" s="19">
        <f t="shared" si="14"/>
        <v>80575.824999999997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45429.38</v>
      </c>
      <c r="G309" s="42">
        <f t="shared" si="15"/>
        <v>11690.82</v>
      </c>
      <c r="H309" s="42">
        <f t="shared" si="15"/>
        <v>74692.72</v>
      </c>
      <c r="I309" s="42">
        <f t="shared" si="15"/>
        <v>2703.605</v>
      </c>
      <c r="J309" s="42">
        <f t="shared" si="15"/>
        <v>0</v>
      </c>
      <c r="K309" s="42">
        <f t="shared" si="15"/>
        <v>0</v>
      </c>
      <c r="L309" s="41">
        <f t="shared" si="15"/>
        <v>134516.52499999999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238915.21</v>
      </c>
      <c r="G338" s="41">
        <f t="shared" si="20"/>
        <v>106115.79000000001</v>
      </c>
      <c r="H338" s="41">
        <f t="shared" si="20"/>
        <v>154280.72999999998</v>
      </c>
      <c r="I338" s="41">
        <f t="shared" si="20"/>
        <v>19062.75</v>
      </c>
      <c r="J338" s="41">
        <f t="shared" si="20"/>
        <v>339.97</v>
      </c>
      <c r="K338" s="41">
        <f t="shared" si="20"/>
        <v>50</v>
      </c>
      <c r="L338" s="41">
        <f t="shared" si="20"/>
        <v>518764.44999999995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914.8</v>
      </c>
      <c r="L344" s="19">
        <f t="shared" ref="L344:L350" si="21">SUM(F344:K344)</f>
        <v>914.8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914.8</v>
      </c>
      <c r="L351" s="41">
        <f>SUM(L341:L350)</f>
        <v>914.8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238915.21</v>
      </c>
      <c r="G352" s="41">
        <f>G338</f>
        <v>106115.79000000001</v>
      </c>
      <c r="H352" s="41">
        <f>H338</f>
        <v>154280.72999999998</v>
      </c>
      <c r="I352" s="41">
        <f>I338</f>
        <v>19062.75</v>
      </c>
      <c r="J352" s="41">
        <f>J338</f>
        <v>339.97</v>
      </c>
      <c r="K352" s="47">
        <f>K338+K351</f>
        <v>964.8</v>
      </c>
      <c r="L352" s="41">
        <f>L338+L351</f>
        <v>519679.24999999994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f>SUM(262441.05+1601.6+529.28)/2</f>
        <v>132285.965</v>
      </c>
      <c r="I358" s="18"/>
      <c r="J358" s="18"/>
      <c r="K358" s="18">
        <f>1539.68/2</f>
        <v>769.84</v>
      </c>
      <c r="L358" s="13">
        <f>SUM(F358:K358)</f>
        <v>133055.80499999999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>
        <f>SUM(262441.05+1601.6+529.28)/2</f>
        <v>132285.965</v>
      </c>
      <c r="I359" s="18"/>
      <c r="J359" s="18"/>
      <c r="K359" s="18">
        <f>1539.68/2</f>
        <v>769.84</v>
      </c>
      <c r="L359" s="19">
        <f>SUM(F359:K359)</f>
        <v>133055.80499999999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264571.93</v>
      </c>
      <c r="I362" s="47">
        <f t="shared" si="22"/>
        <v>0</v>
      </c>
      <c r="J362" s="47">
        <f t="shared" si="22"/>
        <v>0</v>
      </c>
      <c r="K362" s="47">
        <f t="shared" si="22"/>
        <v>1539.68</v>
      </c>
      <c r="L362" s="47">
        <f t="shared" si="22"/>
        <v>266111.61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>
        <v>300000</v>
      </c>
      <c r="H388" s="18">
        <v>6320.02</v>
      </c>
      <c r="I388" s="18"/>
      <c r="J388" s="24" t="s">
        <v>288</v>
      </c>
      <c r="K388" s="24" t="s">
        <v>288</v>
      </c>
      <c r="L388" s="56">
        <f t="shared" si="25"/>
        <v>306320.02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300000</v>
      </c>
      <c r="H393" s="139">
        <f>SUM(H387:H392)</f>
        <v>6320.02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306320.02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300000</v>
      </c>
      <c r="H408" s="47">
        <f>H393+H401+H407</f>
        <v>6320.02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306320.02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1399047.24</v>
      </c>
      <c r="G439" s="18"/>
      <c r="H439" s="18"/>
      <c r="I439" s="56">
        <f t="shared" ref="I439:I445" si="33">SUM(F439:H439)</f>
        <v>1399047.24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1399047.24</v>
      </c>
      <c r="G446" s="13">
        <f>SUM(G439:G445)</f>
        <v>0</v>
      </c>
      <c r="H446" s="13">
        <f>SUM(H439:H445)</f>
        <v>0</v>
      </c>
      <c r="I446" s="13">
        <f>SUM(I439:I445)</f>
        <v>1399047.24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1399047.24</v>
      </c>
      <c r="G454" s="18"/>
      <c r="H454" s="18"/>
      <c r="I454" s="56">
        <f t="shared" ref="I454:I459" si="34">SUM(F454:H454)</f>
        <v>1399047.24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1399047.24</v>
      </c>
      <c r="G460" s="83">
        <f>SUM(G454:G459)</f>
        <v>0</v>
      </c>
      <c r="H460" s="83">
        <f>SUM(H454:H459)</f>
        <v>0</v>
      </c>
      <c r="I460" s="83">
        <f>SUM(I454:I459)</f>
        <v>1399047.24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1399047.24</v>
      </c>
      <c r="G461" s="42">
        <f>G452+G460</f>
        <v>0</v>
      </c>
      <c r="H461" s="42">
        <f>H452+H460</f>
        <v>0</v>
      </c>
      <c r="I461" s="42">
        <f>I452+I460</f>
        <v>1399047.24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1271385.3600000001</v>
      </c>
      <c r="G465" s="18">
        <v>1654.85</v>
      </c>
      <c r="H465" s="18">
        <v>544787.54</v>
      </c>
      <c r="I465" s="18">
        <v>0</v>
      </c>
      <c r="J465" s="18">
        <v>1092727.22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22142305.75+24000</f>
        <v>22166305.75</v>
      </c>
      <c r="G468" s="18">
        <f>268347.8</f>
        <v>268347.8</v>
      </c>
      <c r="H468" s="18">
        <v>516031.52</v>
      </c>
      <c r="I468" s="18"/>
      <c r="J468" s="18">
        <f>306320.02</f>
        <v>306320.02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22166305.75</v>
      </c>
      <c r="G470" s="53">
        <f>SUM(G468:G469)</f>
        <v>268347.8</v>
      </c>
      <c r="H470" s="53">
        <f>SUM(H468:H469)</f>
        <v>516031.52</v>
      </c>
      <c r="I470" s="53">
        <f>SUM(I468:I469)</f>
        <v>0</v>
      </c>
      <c r="J470" s="53">
        <f>SUM(J468:J469)</f>
        <v>306320.02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21884815.26</f>
        <v>21884815.260000002</v>
      </c>
      <c r="G472" s="18">
        <v>266111.61</v>
      </c>
      <c r="H472" s="18">
        <v>519679.25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21884815.260000002</v>
      </c>
      <c r="G474" s="53">
        <f>SUM(G472:G473)</f>
        <v>266111.61</v>
      </c>
      <c r="H474" s="53">
        <f>SUM(H472:H473)</f>
        <v>519679.25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1552875.8499999978</v>
      </c>
      <c r="G476" s="53">
        <f>(G465+G470)- G474</f>
        <v>3891.039999999979</v>
      </c>
      <c r="H476" s="53">
        <f>(H465+H470)- H474</f>
        <v>541139.81000000006</v>
      </c>
      <c r="I476" s="53">
        <f>(I465+I470)- I474</f>
        <v>0</v>
      </c>
      <c r="J476" s="53">
        <f>(J465+J470)- J474</f>
        <v>1399047.24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913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14144129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3.7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4260000</v>
      </c>
      <c r="G495" s="18"/>
      <c r="H495" s="18"/>
      <c r="I495" s="18"/>
      <c r="J495" s="18"/>
      <c r="K495" s="53">
        <f>SUM(F495:J495)</f>
        <v>4260000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710000</v>
      </c>
      <c r="G496" s="18"/>
      <c r="H496" s="18"/>
      <c r="I496" s="18"/>
      <c r="J496" s="18"/>
      <c r="K496" s="53">
        <f t="shared" ref="K496:K503" si="35">SUM(F496:J496)</f>
        <v>710000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3550000</v>
      </c>
      <c r="G498" s="204"/>
      <c r="H498" s="204"/>
      <c r="I498" s="204"/>
      <c r="J498" s="204"/>
      <c r="K498" s="205">
        <f t="shared" si="35"/>
        <v>3550000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608470</v>
      </c>
      <c r="G499" s="18"/>
      <c r="H499" s="18"/>
      <c r="I499" s="18"/>
      <c r="J499" s="18"/>
      <c r="K499" s="53">
        <f t="shared" si="35"/>
        <v>608470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4158470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4158470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710000</v>
      </c>
      <c r="G501" s="204"/>
      <c r="H501" s="204"/>
      <c r="I501" s="204"/>
      <c r="J501" s="204"/>
      <c r="K501" s="205">
        <f t="shared" si="35"/>
        <v>710000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183535</v>
      </c>
      <c r="G502" s="18"/>
      <c r="H502" s="18"/>
      <c r="I502" s="18"/>
      <c r="J502" s="18"/>
      <c r="K502" s="53">
        <f t="shared" si="35"/>
        <v>183535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893535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893535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682205.66+127199.72</f>
        <v>809405.38</v>
      </c>
      <c r="G521" s="18">
        <f>353784.44+67459.12</f>
        <v>421243.56</v>
      </c>
      <c r="H521" s="18">
        <f>117852.62+250</f>
        <v>118102.62</v>
      </c>
      <c r="I521" s="18">
        <f>10707.65</f>
        <v>10707.65</v>
      </c>
      <c r="J521" s="18">
        <f>12654.55</f>
        <v>12654.55</v>
      </c>
      <c r="K521" s="18">
        <v>4492.08</v>
      </c>
      <c r="L521" s="88">
        <f>SUM(F521:K521)</f>
        <v>1376605.84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723143.14+41999.68</f>
        <v>765142.82000000007</v>
      </c>
      <c r="G522" s="18">
        <f>386147.95+11690.82</f>
        <v>397838.77</v>
      </c>
      <c r="H522" s="18">
        <f>198121.1+250</f>
        <v>198371.1</v>
      </c>
      <c r="I522" s="18">
        <f>9694.44</f>
        <v>9694.44</v>
      </c>
      <c r="J522" s="18">
        <f>7559.12</f>
        <v>7559.12</v>
      </c>
      <c r="K522" s="18">
        <v>4492.08</v>
      </c>
      <c r="L522" s="88">
        <f>SUM(F522:K522)</f>
        <v>1383098.3300000003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2318.25</v>
      </c>
      <c r="G523" s="18">
        <v>177.34</v>
      </c>
      <c r="H523" s="18">
        <v>733354.57</v>
      </c>
      <c r="I523" s="18"/>
      <c r="J523" s="18"/>
      <c r="K523" s="18"/>
      <c r="L523" s="88">
        <f>SUM(F523:K523)</f>
        <v>735850.15999999992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1576866.4500000002</v>
      </c>
      <c r="G524" s="108">
        <f t="shared" ref="G524:L524" si="36">SUM(G521:G523)</f>
        <v>819259.67</v>
      </c>
      <c r="H524" s="108">
        <f t="shared" si="36"/>
        <v>1049828.29</v>
      </c>
      <c r="I524" s="108">
        <f t="shared" si="36"/>
        <v>20402.09</v>
      </c>
      <c r="J524" s="108">
        <f t="shared" si="36"/>
        <v>20213.669999999998</v>
      </c>
      <c r="K524" s="108">
        <f t="shared" si="36"/>
        <v>8984.16</v>
      </c>
      <c r="L524" s="89">
        <f t="shared" si="36"/>
        <v>3495554.33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465292.98</f>
        <v>465292.98</v>
      </c>
      <c r="G526" s="18">
        <f>181170</f>
        <v>181170</v>
      </c>
      <c r="H526" s="18">
        <f>14961.08</f>
        <v>14961.08</v>
      </c>
      <c r="I526" s="18">
        <v>6906.19</v>
      </c>
      <c r="J526" s="18">
        <f>1024.5</f>
        <v>1024.5</v>
      </c>
      <c r="K526" s="18"/>
      <c r="L526" s="88">
        <f>SUM(F526:K526)</f>
        <v>669354.74999999988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f>418332.74</f>
        <v>418332.74</v>
      </c>
      <c r="G527" s="18">
        <f>231151.65</f>
        <v>231151.65</v>
      </c>
      <c r="H527" s="18">
        <f>14773.08</f>
        <v>14773.08</v>
      </c>
      <c r="I527" s="18">
        <f>5671.95</f>
        <v>5671.95</v>
      </c>
      <c r="J527" s="18">
        <f>549.35</f>
        <v>549.35</v>
      </c>
      <c r="K527" s="18"/>
      <c r="L527" s="88">
        <f>SUM(F527:K527)</f>
        <v>670478.7699999999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883625.72</v>
      </c>
      <c r="G529" s="89">
        <f t="shared" ref="G529:L529" si="37">SUM(G526:G528)</f>
        <v>412321.65</v>
      </c>
      <c r="H529" s="89">
        <f t="shared" si="37"/>
        <v>29734.16</v>
      </c>
      <c r="I529" s="89">
        <f t="shared" si="37"/>
        <v>12578.14</v>
      </c>
      <c r="J529" s="89">
        <f t="shared" si="37"/>
        <v>1573.85</v>
      </c>
      <c r="K529" s="89">
        <f t="shared" si="37"/>
        <v>0</v>
      </c>
      <c r="L529" s="89">
        <f t="shared" si="37"/>
        <v>1339833.5199999998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124268.88</v>
      </c>
      <c r="G531" s="18">
        <v>53175.13</v>
      </c>
      <c r="H531" s="18">
        <v>32657.59</v>
      </c>
      <c r="I531" s="18">
        <v>1924.13</v>
      </c>
      <c r="J531" s="18">
        <v>645.94000000000005</v>
      </c>
      <c r="K531" s="18">
        <v>4337.1499999999996</v>
      </c>
      <c r="L531" s="88">
        <f>SUM(F531:K531)</f>
        <v>217008.82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124268.88</v>
      </c>
      <c r="G532" s="18">
        <v>53175.13</v>
      </c>
      <c r="H532" s="18">
        <v>32657.59</v>
      </c>
      <c r="I532" s="18">
        <v>1924.13</v>
      </c>
      <c r="J532" s="18">
        <v>645.94000000000005</v>
      </c>
      <c r="K532" s="18">
        <v>4337.1499999999996</v>
      </c>
      <c r="L532" s="88">
        <f>SUM(F532:K532)</f>
        <v>217008.82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124268.88</v>
      </c>
      <c r="G533" s="18">
        <v>53175.13</v>
      </c>
      <c r="H533" s="18">
        <v>32657.59</v>
      </c>
      <c r="I533" s="18">
        <v>1924.13</v>
      </c>
      <c r="J533" s="18">
        <v>645.94000000000005</v>
      </c>
      <c r="K533" s="18">
        <v>4337.1499999999996</v>
      </c>
      <c r="L533" s="88">
        <f>SUM(F533:K533)</f>
        <v>217008.82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372806.64</v>
      </c>
      <c r="G534" s="89">
        <f t="shared" ref="G534:L534" si="38">SUM(G531:G533)</f>
        <v>159525.38999999998</v>
      </c>
      <c r="H534" s="89">
        <f t="shared" si="38"/>
        <v>97972.77</v>
      </c>
      <c r="I534" s="89">
        <f t="shared" si="38"/>
        <v>5772.39</v>
      </c>
      <c r="J534" s="89">
        <f t="shared" si="38"/>
        <v>1937.8200000000002</v>
      </c>
      <c r="K534" s="89">
        <f t="shared" si="38"/>
        <v>13011.449999999999</v>
      </c>
      <c r="L534" s="89">
        <f t="shared" si="38"/>
        <v>651026.46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f>64213.08/3</f>
        <v>21404.36</v>
      </c>
      <c r="I536" s="18"/>
      <c r="J536" s="18"/>
      <c r="K536" s="18"/>
      <c r="L536" s="88">
        <f>SUM(F536:K536)</f>
        <v>21404.36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f>64213.08/3</f>
        <v>21404.36</v>
      </c>
      <c r="I537" s="18"/>
      <c r="J537" s="18"/>
      <c r="K537" s="18"/>
      <c r="L537" s="88">
        <f>SUM(F537:K537)</f>
        <v>21404.36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f>64213.08/3</f>
        <v>21404.36</v>
      </c>
      <c r="I538" s="18"/>
      <c r="J538" s="18"/>
      <c r="K538" s="18"/>
      <c r="L538" s="88">
        <f>SUM(F538:K538)</f>
        <v>21404.36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64213.08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64213.08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f>84551.92+81407.66</f>
        <v>165959.58000000002</v>
      </c>
      <c r="I541" s="18"/>
      <c r="J541" s="18"/>
      <c r="K541" s="18"/>
      <c r="L541" s="88">
        <f>SUM(F541:K541)</f>
        <v>165959.58000000002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f>87810.25</f>
        <v>87810.25</v>
      </c>
      <c r="I542" s="18"/>
      <c r="J542" s="18"/>
      <c r="K542" s="18"/>
      <c r="L542" s="88">
        <f>SUM(F542:K542)</f>
        <v>87810.25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f>86858.97</f>
        <v>86858.97</v>
      </c>
      <c r="I543" s="18"/>
      <c r="J543" s="18"/>
      <c r="K543" s="18"/>
      <c r="L543" s="88">
        <f>SUM(F543:K543)</f>
        <v>86858.97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340628.80000000005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340628.80000000005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2833298.81</v>
      </c>
      <c r="G545" s="89">
        <f t="shared" ref="G545:L545" si="41">G524+G529+G534+G539+G544</f>
        <v>1391106.71</v>
      </c>
      <c r="H545" s="89">
        <f t="shared" si="41"/>
        <v>1582377.1</v>
      </c>
      <c r="I545" s="89">
        <f t="shared" si="41"/>
        <v>38752.619999999995</v>
      </c>
      <c r="J545" s="89">
        <f t="shared" si="41"/>
        <v>23725.339999999997</v>
      </c>
      <c r="K545" s="89">
        <f t="shared" si="41"/>
        <v>21995.61</v>
      </c>
      <c r="L545" s="89">
        <f t="shared" si="41"/>
        <v>5891256.1899999995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1376605.84</v>
      </c>
      <c r="G549" s="87">
        <f>L526</f>
        <v>669354.74999999988</v>
      </c>
      <c r="H549" s="87">
        <f>L531</f>
        <v>217008.82</v>
      </c>
      <c r="I549" s="87">
        <f>L536</f>
        <v>21404.36</v>
      </c>
      <c r="J549" s="87">
        <f>L541</f>
        <v>165959.58000000002</v>
      </c>
      <c r="K549" s="87">
        <f>SUM(F549:J549)</f>
        <v>2450333.3499999996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1383098.3300000003</v>
      </c>
      <c r="G550" s="87">
        <f>L527</f>
        <v>670478.7699999999</v>
      </c>
      <c r="H550" s="87">
        <f>L532</f>
        <v>217008.82</v>
      </c>
      <c r="I550" s="87">
        <f>L537</f>
        <v>21404.36</v>
      </c>
      <c r="J550" s="87">
        <f>L542</f>
        <v>87810.25</v>
      </c>
      <c r="K550" s="87">
        <f>SUM(F550:J550)</f>
        <v>2379800.5299999998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735850.15999999992</v>
      </c>
      <c r="G551" s="87">
        <f>L528</f>
        <v>0</v>
      </c>
      <c r="H551" s="87">
        <f>L533</f>
        <v>217008.82</v>
      </c>
      <c r="I551" s="87">
        <f>L538</f>
        <v>21404.36</v>
      </c>
      <c r="J551" s="87">
        <f>L543</f>
        <v>86858.97</v>
      </c>
      <c r="K551" s="87">
        <f>SUM(F551:J551)</f>
        <v>1061122.31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3495554.33</v>
      </c>
      <c r="G552" s="89">
        <f t="shared" si="42"/>
        <v>1339833.5199999998</v>
      </c>
      <c r="H552" s="89">
        <f t="shared" si="42"/>
        <v>651026.46</v>
      </c>
      <c r="I552" s="89">
        <f t="shared" si="42"/>
        <v>64213.08</v>
      </c>
      <c r="J552" s="89">
        <f t="shared" si="42"/>
        <v>340628.80000000005</v>
      </c>
      <c r="K552" s="89">
        <f t="shared" si="42"/>
        <v>5891256.1899999995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f>2547558.58+1520926.17</f>
        <v>4068484.75</v>
      </c>
      <c r="I575" s="87">
        <f>SUM(F575:H575)</f>
        <v>4068484.75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>
        <f>1475804.24</f>
        <v>1475804.24</v>
      </c>
      <c r="I577" s="87">
        <f t="shared" si="47"/>
        <v>1475804.24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>
        <f>362990.67</f>
        <v>362990.67</v>
      </c>
      <c r="I579" s="87">
        <f t="shared" si="47"/>
        <v>362990.67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>
        <f>69039.43</f>
        <v>69039.429999999993</v>
      </c>
      <c r="I581" s="87">
        <f t="shared" si="47"/>
        <v>69039.429999999993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73635.039999999994</v>
      </c>
      <c r="G582" s="18">
        <v>170398.62</v>
      </c>
      <c r="H582" s="18">
        <v>301324.46999999997</v>
      </c>
      <c r="I582" s="87">
        <f t="shared" si="47"/>
        <v>545358.12999999989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229092.27</f>
        <v>229092.27</v>
      </c>
      <c r="I591" s="18">
        <f>229092.07</f>
        <v>229092.07</v>
      </c>
      <c r="J591" s="18">
        <f>137386.86</f>
        <v>137386.85999999999</v>
      </c>
      <c r="K591" s="104">
        <f t="shared" ref="K591:K597" si="48">SUM(H591:J591)</f>
        <v>595571.19999999995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84551.92+81407.66+6565</f>
        <v>172524.58000000002</v>
      </c>
      <c r="I592" s="18">
        <f>87810.25</f>
        <v>87810.25</v>
      </c>
      <c r="J592" s="18">
        <f>86858.97</f>
        <v>86858.97</v>
      </c>
      <c r="K592" s="104">
        <f t="shared" si="48"/>
        <v>347193.80000000005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f>7603.3</f>
        <v>7603.3</v>
      </c>
      <c r="J594" s="18"/>
      <c r="K594" s="104">
        <f t="shared" si="48"/>
        <v>7603.3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4517.23+1327.2</f>
        <v>5844.4299999999994</v>
      </c>
      <c r="I595" s="18">
        <f>3780.33</f>
        <v>3780.33</v>
      </c>
      <c r="J595" s="18"/>
      <c r="K595" s="104">
        <f t="shared" si="48"/>
        <v>9624.7599999999984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407461.27999999997</v>
      </c>
      <c r="I598" s="108">
        <f>SUM(I591:I597)</f>
        <v>328285.95</v>
      </c>
      <c r="J598" s="108">
        <f>SUM(J591:J597)</f>
        <v>224245.83</v>
      </c>
      <c r="K598" s="108">
        <f>SUM(K591:K597)</f>
        <v>959993.06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145133.19+339.96</f>
        <v>145473.15</v>
      </c>
      <c r="I604" s="18">
        <f>192913.59</f>
        <v>192913.59</v>
      </c>
      <c r="J604" s="18">
        <f>645.94</f>
        <v>645.94000000000005</v>
      </c>
      <c r="K604" s="104">
        <f>SUM(H604:J604)</f>
        <v>339032.68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145473.15</v>
      </c>
      <c r="I605" s="108">
        <f>SUM(I602:I604)</f>
        <v>192913.59</v>
      </c>
      <c r="J605" s="108">
        <f>SUM(J602:J604)</f>
        <v>645.94000000000005</v>
      </c>
      <c r="K605" s="108">
        <f>SUM(K602:K604)</f>
        <v>339032.68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2098531.31</v>
      </c>
      <c r="H617" s="109">
        <f>SUM(F52)</f>
        <v>2098531.31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36749.1</v>
      </c>
      <c r="H618" s="109">
        <f>SUM(G52)</f>
        <v>36749.1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541139.81000000006</v>
      </c>
      <c r="H619" s="109">
        <f>SUM(H52)</f>
        <v>541139.81000000006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1399047.24</v>
      </c>
      <c r="H621" s="109">
        <f>SUM(J52)</f>
        <v>1399047.24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1552875.85</v>
      </c>
      <c r="H622" s="109">
        <f>F476</f>
        <v>1552875.8499999978</v>
      </c>
      <c r="I622" s="121" t="s">
        <v>101</v>
      </c>
      <c r="J622" s="109">
        <f t="shared" ref="J622:J655" si="50">G622-H622</f>
        <v>2.3283064365386963E-9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3891.04</v>
      </c>
      <c r="H623" s="109">
        <f>G476</f>
        <v>3891.039999999979</v>
      </c>
      <c r="I623" s="121" t="s">
        <v>102</v>
      </c>
      <c r="J623" s="109">
        <f t="shared" si="50"/>
        <v>2.0918378140777349E-11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541139.81000000006</v>
      </c>
      <c r="H624" s="109">
        <f>H476</f>
        <v>541139.81000000006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1399047.24</v>
      </c>
      <c r="H626" s="109">
        <f>J476</f>
        <v>1399047.24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22166305.75</v>
      </c>
      <c r="H627" s="104">
        <f>SUM(F468)</f>
        <v>22166305.75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268347.80000000005</v>
      </c>
      <c r="H628" s="104">
        <f>SUM(G468)</f>
        <v>268347.8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516031.52</v>
      </c>
      <c r="H629" s="104">
        <f>SUM(H468)</f>
        <v>516031.52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306320.02</v>
      </c>
      <c r="H631" s="104">
        <f>SUM(J468)</f>
        <v>306320.02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21884815.260000002</v>
      </c>
      <c r="H632" s="104">
        <f>SUM(F472)</f>
        <v>21884815.260000002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519679.24999999994</v>
      </c>
      <c r="H633" s="104">
        <f>SUM(H472)</f>
        <v>519679.25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266111.61</v>
      </c>
      <c r="H635" s="104">
        <f>SUM(G472)</f>
        <v>266111.61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306320.02</v>
      </c>
      <c r="H637" s="164">
        <f>SUM(J468)</f>
        <v>306320.02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1399047.24</v>
      </c>
      <c r="H639" s="104">
        <f>SUM(F461)</f>
        <v>1399047.24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1399047.24</v>
      </c>
      <c r="H642" s="104">
        <f>SUM(I461)</f>
        <v>1399047.24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6320.02</v>
      </c>
      <c r="H644" s="104">
        <f>H408</f>
        <v>6320.02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300000</v>
      </c>
      <c r="H645" s="104">
        <f>G408</f>
        <v>300000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306320.02</v>
      </c>
      <c r="H646" s="104">
        <f>L408</f>
        <v>306320.02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959993.06</v>
      </c>
      <c r="H647" s="104">
        <f>L208+L226+L244</f>
        <v>959993.05999999994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339032.68</v>
      </c>
      <c r="H648" s="104">
        <f>(J257+J338)-(J255+J336)</f>
        <v>339032.68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407461.27999999997</v>
      </c>
      <c r="H649" s="104">
        <f>H598</f>
        <v>407461.27999999997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328285.95</v>
      </c>
      <c r="H650" s="104">
        <f>I598</f>
        <v>328285.95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224245.83</v>
      </c>
      <c r="H651" s="104">
        <f>J598</f>
        <v>224245.83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300000</v>
      </c>
      <c r="H655" s="104">
        <f>K266+K347</f>
        <v>300000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7695672.0449999999</v>
      </c>
      <c r="G660" s="19">
        <f>(L229+L309+L359)</f>
        <v>6804223.0950000007</v>
      </c>
      <c r="H660" s="19">
        <f>(L247+L328+L360)</f>
        <v>6790070.3200000003</v>
      </c>
      <c r="I660" s="19">
        <f>SUM(F660:H660)</f>
        <v>21289965.460000001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91021.895000000004</v>
      </c>
      <c r="G661" s="19">
        <f>(L359/IF(SUM(L358:L360)=0,1,SUM(L358:L360))*(SUM(G97:G110)))</f>
        <v>91021.895000000004</v>
      </c>
      <c r="H661" s="19">
        <f>(L360/IF(SUM(L358:L360)=0,1,SUM(L358:L360))*(SUM(G97:G110)))</f>
        <v>0</v>
      </c>
      <c r="I661" s="19">
        <f>SUM(F661:H661)</f>
        <v>182043.79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410799.77999999997</v>
      </c>
      <c r="G662" s="19">
        <f>(L226+L306)-(J226+J306)</f>
        <v>328285.95</v>
      </c>
      <c r="H662" s="19">
        <f>(L244+L325)-(J244+J325)</f>
        <v>224245.83</v>
      </c>
      <c r="I662" s="19">
        <f>SUM(F662:H662)</f>
        <v>963331.55999999994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219108.19</v>
      </c>
      <c r="G663" s="199">
        <f>SUM(G575:G587)+SUM(I602:I604)+L612</f>
        <v>363312.20999999996</v>
      </c>
      <c r="H663" s="199">
        <f>SUM(H575:H587)+SUM(J602:J604)+L613</f>
        <v>6278289.5</v>
      </c>
      <c r="I663" s="19">
        <f>SUM(F663:H663)</f>
        <v>6860709.9000000004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6974742.1799999997</v>
      </c>
      <c r="G664" s="19">
        <f>G660-SUM(G661:G663)</f>
        <v>6021603.040000001</v>
      </c>
      <c r="H664" s="19">
        <f>H660-SUM(H661:H663)</f>
        <v>287534.99000000022</v>
      </c>
      <c r="I664" s="19">
        <f>I660-SUM(I661:I663)</f>
        <v>13283880.210000001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499.13</v>
      </c>
      <c r="G665" s="248">
        <v>421.79</v>
      </c>
      <c r="H665" s="248"/>
      <c r="I665" s="19">
        <f>SUM(F665:H665)</f>
        <v>920.92000000000007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13973.8</v>
      </c>
      <c r="G667" s="19">
        <f>ROUND(G664/G665,2)</f>
        <v>14276.31</v>
      </c>
      <c r="H667" s="19" t="e">
        <f>ROUND(H664/H665,2)</f>
        <v>#DIV/0!</v>
      </c>
      <c r="I667" s="19">
        <f>ROUND(I664/I665,2)</f>
        <v>14424.58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-287534.99</v>
      </c>
      <c r="I669" s="19">
        <f>SUM(F669:H669)</f>
        <v>-287534.99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13973.8</v>
      </c>
      <c r="G672" s="19">
        <f>ROUND((G664+G669)/(G665+G670),2)</f>
        <v>14276.31</v>
      </c>
      <c r="H672" s="19" t="e">
        <f>ROUND((H664+H669)/(H665+H670),2)</f>
        <v>#DIV/0!</v>
      </c>
      <c r="I672" s="19">
        <f>ROUND((I664+I669)/(I665+I670),2)</f>
        <v>14112.35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7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150" zoomScaleNormal="150" zoomScalePageLayoutView="150" workbookViewId="0">
      <selection activeCell="C29" sqref="C29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784</v>
      </c>
      <c r="B1" s="232" t="str">
        <f>'DOE25'!A2</f>
        <v xml:space="preserve">           Barrington School District  SAU #74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3356162.6999999997</v>
      </c>
      <c r="C9" s="229">
        <f>'DOE25'!G197+'DOE25'!G215+'DOE25'!G233+'DOE25'!G276+'DOE25'!G295+'DOE25'!G314</f>
        <v>1695987.3100000003</v>
      </c>
    </row>
    <row r="10" spans="1:3" x14ac:dyDescent="0.2">
      <c r="A10" t="s">
        <v>778</v>
      </c>
      <c r="B10" s="240">
        <f>1335117.36+229712.41+1388323.13</f>
        <v>2953152.9</v>
      </c>
      <c r="C10" s="240">
        <f>451423.53+332253.53+735.08+12951.75+1429.7+9398.3+933+1008+3214.81+3399+102357.46+108513.85+210351.79+218926.66</f>
        <v>1456896.46</v>
      </c>
    </row>
    <row r="11" spans="1:3" x14ac:dyDescent="0.2">
      <c r="A11" t="s">
        <v>779</v>
      </c>
      <c r="B11" s="240">
        <f>89.78+10200+110330.72+58777.09+1303.52+2776-17.38</f>
        <v>183459.72999999998</v>
      </c>
      <c r="C11" s="240">
        <f>83559.08+360+835.32+26482.28+48158.56</f>
        <v>159395.24</v>
      </c>
    </row>
    <row r="12" spans="1:3" x14ac:dyDescent="0.2">
      <c r="A12" t="s">
        <v>780</v>
      </c>
      <c r="B12" s="240">
        <f>123556.94+42107.71+17857+36028.42</f>
        <v>219550.07</v>
      </c>
      <c r="C12" s="240">
        <f>12889.84+72+306.92+10140.48+20535.96+35750.41</f>
        <v>79695.61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3356162.6999999997</v>
      </c>
      <c r="C13" s="231">
        <f>SUM(C10:C12)</f>
        <v>1695987.31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1576866.6500000001</v>
      </c>
      <c r="C18" s="229">
        <f>'DOE25'!G198+'DOE25'!G216+'DOE25'!G234+'DOE25'!G277+'DOE25'!G296+'DOE25'!G315</f>
        <v>819259.66999999981</v>
      </c>
    </row>
    <row r="19" spans="1:3" x14ac:dyDescent="0.2">
      <c r="A19" t="s">
        <v>778</v>
      </c>
      <c r="B19" s="240">
        <f>244501.02+40015.41+276052.08+12328.31+87799.84+39399.88+41999.888</f>
        <v>742096.42800000007</v>
      </c>
      <c r="C19" s="240">
        <f>234615.16+3219.99+3029.15+612+876+1239.62+1672.43+37769.5+10579.55+17636.86+383.52+268.18+30+60+38.3+82+182.8+79.2+2719.08+6503.04+3022.88+6225.18+13817.14+6635.98+13832.97+25259.34</f>
        <v>390389.86999999994</v>
      </c>
    </row>
    <row r="20" spans="1:3" x14ac:dyDescent="0.2">
      <c r="A20" t="s">
        <v>779</v>
      </c>
      <c r="B20" s="240">
        <f>262121.03+87273.49+419617.75+2318.24</f>
        <v>771330.51</v>
      </c>
      <c r="C20" s="240">
        <f>186+284.68+53255.55+177.34+162.75+67573.18+88859.41+1600+344+1600+19552.32+191282.51</f>
        <v>424877.74</v>
      </c>
    </row>
    <row r="21" spans="1:3" x14ac:dyDescent="0.2">
      <c r="A21" t="s">
        <v>780</v>
      </c>
      <c r="B21" s="240">
        <f>26221.68+543+1432+80+15028.03+5070+15065</f>
        <v>63439.71</v>
      </c>
      <c r="C21" s="240">
        <f>2077.5+1914.56</f>
        <v>3992.06</v>
      </c>
    </row>
    <row r="22" spans="1:3" x14ac:dyDescent="0.2">
      <c r="A22" t="str">
        <f>IF(B18=B22,IF(C18=C22,"Check Total OK","Check Total Error"),"Check Total Error")</f>
        <v>Check Total Error</v>
      </c>
      <c r="B22" s="231">
        <f>SUM(B19:B21)</f>
        <v>1576866.648</v>
      </c>
      <c r="C22" s="231">
        <f>SUM(C19:C21)</f>
        <v>819259.66999999993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 t="s">
        <v>286</v>
      </c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46100</v>
      </c>
      <c r="C36" s="235">
        <f>'DOE25'!G200+'DOE25'!G218+'DOE25'!G236+'DOE25'!G279+'DOE25'!G298+'DOE25'!G317</f>
        <v>9210.59</v>
      </c>
    </row>
    <row r="37" spans="1:3" x14ac:dyDescent="0.2">
      <c r="A37" t="s">
        <v>778</v>
      </c>
      <c r="B37" s="240">
        <v>46100</v>
      </c>
      <c r="C37" s="240">
        <v>9210.59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46100</v>
      </c>
      <c r="C40" s="231">
        <f>SUM(C37:C39)</f>
        <v>9210.59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="150" zoomScaleNormal="150" zoomScalePageLayoutView="150" workbookViewId="0">
      <pane ySplit="4" topLeftCell="A5" activePane="bottomLeft" state="frozen"/>
      <selection activeCell="F46" sqref="F46"/>
      <selection pane="bottomLeft" activeCell="D11" sqref="D11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 xml:space="preserve">           Barrington School District  SAU #74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14016894.66</v>
      </c>
      <c r="D5" s="20">
        <f>SUM('DOE25'!L197:L200)+SUM('DOE25'!L215:L218)+SUM('DOE25'!L233:L236)-F5-G5</f>
        <v>13988163.57</v>
      </c>
      <c r="E5" s="243"/>
      <c r="F5" s="255">
        <f>SUM('DOE25'!J197:J200)+SUM('DOE25'!J215:J218)+SUM('DOE25'!J233:J236)</f>
        <v>26416.590000000004</v>
      </c>
      <c r="G5" s="53">
        <f>SUM('DOE25'!K197:K200)+SUM('DOE25'!K215:K218)+SUM('DOE25'!K233:K236)</f>
        <v>2314.5</v>
      </c>
      <c r="H5" s="259"/>
    </row>
    <row r="6" spans="1:9" x14ac:dyDescent="0.2">
      <c r="A6" s="32">
        <v>2100</v>
      </c>
      <c r="B6" t="s">
        <v>800</v>
      </c>
      <c r="C6" s="245">
        <f t="shared" si="0"/>
        <v>1348817.6799999997</v>
      </c>
      <c r="D6" s="20">
        <f>'DOE25'!L202+'DOE25'!L220+'DOE25'!L238-F6-G6</f>
        <v>1338259.6699999997</v>
      </c>
      <c r="E6" s="243"/>
      <c r="F6" s="255">
        <f>'DOE25'!J202+'DOE25'!J220+'DOE25'!J238</f>
        <v>1573.85</v>
      </c>
      <c r="G6" s="53">
        <f>'DOE25'!K202+'DOE25'!K220+'DOE25'!K238</f>
        <v>8984.16</v>
      </c>
      <c r="H6" s="259"/>
    </row>
    <row r="7" spans="1:9" x14ac:dyDescent="0.2">
      <c r="A7" s="32">
        <v>2200</v>
      </c>
      <c r="B7" t="s">
        <v>833</v>
      </c>
      <c r="C7" s="245">
        <f t="shared" si="0"/>
        <v>924045.77</v>
      </c>
      <c r="D7" s="20">
        <f>'DOE25'!L203+'DOE25'!L221+'DOE25'!L239-F7-G7</f>
        <v>670756.04999999993</v>
      </c>
      <c r="E7" s="243"/>
      <c r="F7" s="255">
        <f>'DOE25'!J203+'DOE25'!J221+'DOE25'!J239</f>
        <v>218428.30000000002</v>
      </c>
      <c r="G7" s="53">
        <f>'DOE25'!K203+'DOE25'!K221+'DOE25'!K239</f>
        <v>34861.42</v>
      </c>
      <c r="H7" s="259"/>
    </row>
    <row r="8" spans="1:9" x14ac:dyDescent="0.2">
      <c r="A8" s="32">
        <v>2300</v>
      </c>
      <c r="B8" t="s">
        <v>801</v>
      </c>
      <c r="C8" s="245">
        <f t="shared" si="0"/>
        <v>331032.33000000007</v>
      </c>
      <c r="D8" s="243"/>
      <c r="E8" s="20">
        <f>'DOE25'!L204+'DOE25'!L222+'DOE25'!L240-F8-G8-D9-D11</f>
        <v>316083.06000000006</v>
      </c>
      <c r="F8" s="255">
        <f>'DOE25'!J204+'DOE25'!J222+'DOE25'!J240</f>
        <v>1937.8200000000002</v>
      </c>
      <c r="G8" s="53">
        <f>'DOE25'!K204+'DOE25'!K222+'DOE25'!K240</f>
        <v>13011.449999999999</v>
      </c>
      <c r="H8" s="259"/>
    </row>
    <row r="9" spans="1:9" x14ac:dyDescent="0.2">
      <c r="A9" s="32">
        <v>2310</v>
      </c>
      <c r="B9" t="s">
        <v>817</v>
      </c>
      <c r="C9" s="245">
        <f t="shared" si="0"/>
        <v>88437.27</v>
      </c>
      <c r="D9" s="244">
        <v>88437.27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10500</v>
      </c>
      <c r="D10" s="243"/>
      <c r="E10" s="244">
        <v>10500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231559.86</v>
      </c>
      <c r="D11" s="244">
        <f>187059.86+44500</f>
        <v>231559.86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875818.19000000018</v>
      </c>
      <c r="D12" s="20">
        <f>'DOE25'!L205+'DOE25'!L223+'DOE25'!L241-F12-G12</f>
        <v>850978.13000000012</v>
      </c>
      <c r="E12" s="243"/>
      <c r="F12" s="255">
        <f>'DOE25'!J205+'DOE25'!J223+'DOE25'!J241</f>
        <v>22031.56</v>
      </c>
      <c r="G12" s="53">
        <f>'DOE25'!K205+'DOE25'!K223+'DOE25'!K241</f>
        <v>2808.5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202201.55999999997</v>
      </c>
      <c r="D13" s="243"/>
      <c r="E13" s="20">
        <f>'DOE25'!L206+'DOE25'!L224+'DOE25'!L242-F13-G13</f>
        <v>202201.55999999997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1526289.0200000003</v>
      </c>
      <c r="D14" s="20">
        <f>'DOE25'!L207+'DOE25'!L225+'DOE25'!L243-F14-G14</f>
        <v>1457984.4300000002</v>
      </c>
      <c r="E14" s="243"/>
      <c r="F14" s="255">
        <f>'DOE25'!J207+'DOE25'!J225+'DOE25'!J243</f>
        <v>68304.59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959993.05999999994</v>
      </c>
      <c r="D15" s="20">
        <f>'DOE25'!L208+'DOE25'!L226+'DOE25'!L244-F15-G15</f>
        <v>959993.05999999994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154595.85999999999</v>
      </c>
      <c r="D22" s="243"/>
      <c r="E22" s="243"/>
      <c r="F22" s="255">
        <f>'DOE25'!L255+'DOE25'!L336</f>
        <v>154595.85999999999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925130</v>
      </c>
      <c r="D25" s="243"/>
      <c r="E25" s="243"/>
      <c r="F25" s="258"/>
      <c r="G25" s="256"/>
      <c r="H25" s="257">
        <f>'DOE25'!L260+'DOE25'!L261+'DOE25'!L341+'DOE25'!L342</f>
        <v>925130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266111.61</v>
      </c>
      <c r="D29" s="20">
        <f>'DOE25'!L358+'DOE25'!L359+'DOE25'!L360-'DOE25'!I367-F29-G29</f>
        <v>264571.93</v>
      </c>
      <c r="E29" s="243"/>
      <c r="F29" s="255">
        <f>'DOE25'!J358+'DOE25'!J359+'DOE25'!J360</f>
        <v>0</v>
      </c>
      <c r="G29" s="53">
        <f>'DOE25'!K358+'DOE25'!K359+'DOE25'!K360</f>
        <v>1539.68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518764.44999999995</v>
      </c>
      <c r="D31" s="20">
        <f>'DOE25'!L290+'DOE25'!L309+'DOE25'!L328+'DOE25'!L333+'DOE25'!L334+'DOE25'!L335-F31-G31</f>
        <v>518374.48</v>
      </c>
      <c r="E31" s="243"/>
      <c r="F31" s="255">
        <f>'DOE25'!J290+'DOE25'!J309+'DOE25'!J328+'DOE25'!J333+'DOE25'!J334+'DOE25'!J335</f>
        <v>339.97</v>
      </c>
      <c r="G31" s="53">
        <f>'DOE25'!K290+'DOE25'!K309+'DOE25'!K328+'DOE25'!K333+'DOE25'!K334+'DOE25'!K335</f>
        <v>50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20369078.449999999</v>
      </c>
      <c r="E33" s="246">
        <f>SUM(E5:E31)</f>
        <v>528784.62</v>
      </c>
      <c r="F33" s="246">
        <f>SUM(F5:F31)</f>
        <v>493628.54000000004</v>
      </c>
      <c r="G33" s="246">
        <f>SUM(G5:G31)</f>
        <v>63569.71</v>
      </c>
      <c r="H33" s="246">
        <f>SUM(H5:H31)</f>
        <v>925130</v>
      </c>
    </row>
    <row r="35" spans="2:8" ht="12" thickBot="1" x14ac:dyDescent="0.25">
      <c r="B35" s="253" t="s">
        <v>846</v>
      </c>
      <c r="D35" s="254">
        <f>E33</f>
        <v>528784.62</v>
      </c>
      <c r="E35" s="249"/>
    </row>
    <row r="36" spans="2:8" ht="12" thickTop="1" x14ac:dyDescent="0.2">
      <c r="B36" t="s">
        <v>814</v>
      </c>
      <c r="D36" s="20">
        <f>D33</f>
        <v>20369078.449999999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125" zoomScaleNormal="125" zoomScalePageLayoutView="125" workbookViewId="0">
      <pane ySplit="2" topLeftCell="A3" activePane="bottomLeft" state="frozen"/>
      <selection activeCell="F46" sqref="F46"/>
      <selection pane="bottomLeft" activeCell="A2" sqref="A2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Barrington School District  SAU #74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1786390.4</v>
      </c>
      <c r="D8" s="95">
        <f>'DOE25'!G9</f>
        <v>0</v>
      </c>
      <c r="E8" s="95">
        <f>'DOE25'!H9</f>
        <v>541139.81000000006</v>
      </c>
      <c r="F8" s="95">
        <f>'DOE25'!I9</f>
        <v>0</v>
      </c>
      <c r="G8" s="95">
        <f>'DOE25'!J9</f>
        <v>1399047.24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7505.6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29243.5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305176.59999999998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2098531.31</v>
      </c>
      <c r="D18" s="41">
        <f>SUM(D8:D17)</f>
        <v>36749.1</v>
      </c>
      <c r="E18" s="41">
        <f>SUM(E8:E17)</f>
        <v>541139.81000000006</v>
      </c>
      <c r="F18" s="41">
        <f>SUM(F8:F17)</f>
        <v>0</v>
      </c>
      <c r="G18" s="41">
        <f>SUM(G8:G17)</f>
        <v>1399047.24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152588.29999999999</v>
      </c>
      <c r="D21" s="95">
        <f>'DOE25'!G22</f>
        <v>23334.53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91152.39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301914.76999999996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9523.5300000000007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545655.46</v>
      </c>
      <c r="D31" s="41">
        <f>SUM(D21:D30)</f>
        <v>32858.06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3891.04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250000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426243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541139.81000000006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1399047.24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876632.85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1552875.85</v>
      </c>
      <c r="D50" s="41">
        <f>SUM(D34:D49)</f>
        <v>3891.04</v>
      </c>
      <c r="E50" s="41">
        <f>SUM(E34:E49)</f>
        <v>541139.81000000006</v>
      </c>
      <c r="F50" s="41">
        <f>SUM(F34:F49)</f>
        <v>0</v>
      </c>
      <c r="G50" s="41">
        <f>SUM(G34:G49)</f>
        <v>1399047.24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2098531.31</v>
      </c>
      <c r="D51" s="41">
        <f>D50+D31</f>
        <v>36749.1</v>
      </c>
      <c r="E51" s="41">
        <f>E50+E31</f>
        <v>541139.81000000006</v>
      </c>
      <c r="F51" s="41">
        <f>F50+F31</f>
        <v>0</v>
      </c>
      <c r="G51" s="41">
        <f>G50+G31</f>
        <v>1399047.24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14946437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65769.17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6320.02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182043.79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233073.37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298842.53999999998</v>
      </c>
      <c r="D62" s="130">
        <f>SUM(D57:D61)</f>
        <v>182043.79</v>
      </c>
      <c r="E62" s="130">
        <f>SUM(E57:E61)</f>
        <v>0</v>
      </c>
      <c r="F62" s="130">
        <f>SUM(F57:F61)</f>
        <v>0</v>
      </c>
      <c r="G62" s="130">
        <f>SUM(G57:G61)</f>
        <v>6320.02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15245279.539999999</v>
      </c>
      <c r="D63" s="22">
        <f>D56+D62</f>
        <v>182043.79</v>
      </c>
      <c r="E63" s="22">
        <f>E56+E62</f>
        <v>0</v>
      </c>
      <c r="F63" s="22">
        <f>F56+F62</f>
        <v>0</v>
      </c>
      <c r="G63" s="22">
        <f>G56+G62</f>
        <v>6320.02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4117384.81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2093196.48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3831.72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6214413.0099999998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231529.27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156820.56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4013.01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388349.82999999996</v>
      </c>
      <c r="D78" s="130">
        <f>SUM(D72:D77)</f>
        <v>4013.01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6602762.8399999999</v>
      </c>
      <c r="D81" s="130">
        <f>SUM(D79:D80)+D78+D70</f>
        <v>4013.01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318263.37</v>
      </c>
      <c r="D88" s="95">
        <f>SUM('DOE25'!G153:G161)</f>
        <v>82291</v>
      </c>
      <c r="E88" s="95">
        <f>SUM('DOE25'!H153:H161)</f>
        <v>516031.52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318263.37</v>
      </c>
      <c r="D91" s="131">
        <f>SUM(D85:D90)</f>
        <v>82291</v>
      </c>
      <c r="E91" s="131">
        <f>SUM(E85:E90)</f>
        <v>516031.52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300000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300000</v>
      </c>
    </row>
    <row r="104" spans="1:7" ht="12.75" thickTop="1" thickBot="1" x14ac:dyDescent="0.25">
      <c r="A104" s="33" t="s">
        <v>764</v>
      </c>
      <c r="C104" s="86">
        <f>C63+C81+C91+C103</f>
        <v>22166305.75</v>
      </c>
      <c r="D104" s="86">
        <f>D63+D81+D91+D103</f>
        <v>268347.80000000005</v>
      </c>
      <c r="E104" s="86">
        <f>E63+E81+E91+E103</f>
        <v>516031.52</v>
      </c>
      <c r="F104" s="86">
        <f>F63+F81+F91+F103</f>
        <v>0</v>
      </c>
      <c r="G104" s="86">
        <f>G63+G81+G103</f>
        <v>306320.02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10708210.029999999</v>
      </c>
      <c r="D109" s="24" t="s">
        <v>288</v>
      </c>
      <c r="E109" s="95">
        <f>('DOE25'!L276)+('DOE25'!L295)+('DOE25'!L314)</f>
        <v>105424.75999999998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3237720.83</v>
      </c>
      <c r="D110" s="24" t="s">
        <v>288</v>
      </c>
      <c r="E110" s="95">
        <f>('DOE25'!L277)+('DOE25'!L296)+('DOE25'!L315)</f>
        <v>248849.53999999998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1275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69688.800000000003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14016894.66</v>
      </c>
      <c r="D115" s="86">
        <f>SUM(D109:D114)</f>
        <v>0</v>
      </c>
      <c r="E115" s="86">
        <f>SUM(E109:E114)</f>
        <v>354274.29999999993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1348817.6799999997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924045.77</v>
      </c>
      <c r="D119" s="24" t="s">
        <v>288</v>
      </c>
      <c r="E119" s="95">
        <f>+('DOE25'!L282)+('DOE25'!L301)+('DOE25'!L320)</f>
        <v>161151.65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651029.46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875818.19000000018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202201.55999999997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1526289.0200000003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959993.05999999994</v>
      </c>
      <c r="D124" s="24" t="s">
        <v>288</v>
      </c>
      <c r="E124" s="95">
        <f>+('DOE25'!L287)+('DOE25'!L306)+('DOE25'!L325)</f>
        <v>3338.5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266111.61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6488194.7399999993</v>
      </c>
      <c r="D128" s="86">
        <f>SUM(D118:D127)</f>
        <v>266111.61</v>
      </c>
      <c r="E128" s="86">
        <f>SUM(E118:E127)</f>
        <v>164490.15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154595.85999999999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215130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914.8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306320.02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-6320.0200000000186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1379725.8599999999</v>
      </c>
      <c r="D144" s="141">
        <f>SUM(D130:D143)</f>
        <v>0</v>
      </c>
      <c r="E144" s="141">
        <f>SUM(E130:E143)</f>
        <v>914.8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21884815.259999998</v>
      </c>
      <c r="D145" s="86">
        <f>(D115+D128+D144)</f>
        <v>266111.61</v>
      </c>
      <c r="E145" s="86">
        <f>(E115+E128+E144)</f>
        <v>519679.24999999994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12/02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10/22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14144129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4260000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4260000</v>
      </c>
    </row>
    <row r="157" spans="1:9" x14ac:dyDescent="0.2">
      <c r="A157" s="22" t="s">
        <v>33</v>
      </c>
      <c r="B157" s="137">
        <f>'DOE25'!F496</f>
        <v>710000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710000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3550000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3550000</v>
      </c>
    </row>
    <row r="160" spans="1:9" x14ac:dyDescent="0.2">
      <c r="A160" s="22" t="s">
        <v>36</v>
      </c>
      <c r="B160" s="137">
        <f>'DOE25'!F499</f>
        <v>608470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608470</v>
      </c>
    </row>
    <row r="161" spans="1:7" x14ac:dyDescent="0.2">
      <c r="A161" s="22" t="s">
        <v>37</v>
      </c>
      <c r="B161" s="137">
        <f>'DOE25'!F500</f>
        <v>4158470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4158470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183535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183535</v>
      </c>
    </row>
    <row r="164" spans="1:7" x14ac:dyDescent="0.2">
      <c r="A164" s="22" t="s">
        <v>246</v>
      </c>
      <c r="B164" s="137">
        <f>'DOE25'!F503</f>
        <v>893535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893535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81" orientation="landscape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sqref="A1:D1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 xml:space="preserve">           Barrington School District  SAU #74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13974</v>
      </c>
    </row>
    <row r="5" spans="1:4" x14ac:dyDescent="0.2">
      <c r="B5" t="s">
        <v>703</v>
      </c>
      <c r="C5" s="179">
        <f>IF('DOE25'!G665+'DOE25'!G670=0,0,ROUND('DOE25'!G672,0))</f>
        <v>14276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14112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10813635</v>
      </c>
      <c r="D10" s="182">
        <f>ROUND((C10/$C$28)*100,1)</f>
        <v>50.7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3486570</v>
      </c>
      <c r="D11" s="182">
        <f>ROUND((C11/$C$28)*100,1)</f>
        <v>16.399999999999999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1275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69689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1348818</v>
      </c>
      <c r="D15" s="182">
        <f t="shared" ref="D15:D27" si="0">ROUND((C15/$C$28)*100,1)</f>
        <v>6.3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1085197</v>
      </c>
      <c r="D16" s="182">
        <f t="shared" si="0"/>
        <v>5.0999999999999996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651029</v>
      </c>
      <c r="D17" s="182">
        <f t="shared" si="0"/>
        <v>3.1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875818</v>
      </c>
      <c r="D18" s="182">
        <f t="shared" si="0"/>
        <v>4.0999999999999996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202202</v>
      </c>
      <c r="D19" s="182">
        <f t="shared" si="0"/>
        <v>0.9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1526289</v>
      </c>
      <c r="D20" s="182">
        <f t="shared" si="0"/>
        <v>7.2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963332</v>
      </c>
      <c r="D21" s="182">
        <f t="shared" si="0"/>
        <v>4.5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215130</v>
      </c>
      <c r="D25" s="182">
        <f t="shared" si="0"/>
        <v>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84068.209999999992</v>
      </c>
      <c r="D27" s="182">
        <f t="shared" si="0"/>
        <v>0.4</v>
      </c>
    </row>
    <row r="28" spans="1:4" x14ac:dyDescent="0.2">
      <c r="B28" s="187" t="s">
        <v>722</v>
      </c>
      <c r="C28" s="180">
        <f>SUM(C10:C27)</f>
        <v>21323052.210000001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154596</v>
      </c>
    </row>
    <row r="30" spans="1:4" x14ac:dyDescent="0.2">
      <c r="B30" s="187" t="s">
        <v>728</v>
      </c>
      <c r="C30" s="180">
        <f>SUM(C28:C29)</f>
        <v>21477648.210000001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14946437</v>
      </c>
      <c r="D35" s="182">
        <f t="shared" ref="D35:D40" si="1">ROUND((C35/$C$41)*100,1)</f>
        <v>65.599999999999994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305162.55999999866</v>
      </c>
      <c r="D36" s="182">
        <f t="shared" si="1"/>
        <v>1.3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6210581</v>
      </c>
      <c r="D37" s="182">
        <f t="shared" si="1"/>
        <v>27.3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396195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916586</v>
      </c>
      <c r="D39" s="182">
        <f t="shared" si="1"/>
        <v>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22774961.559999999</v>
      </c>
      <c r="D41" s="184">
        <f>SUM(D35:D40)</f>
        <v>99.899999999999991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769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766</v>
      </c>
      <c r="B2" s="301"/>
      <c r="C2" s="301"/>
      <c r="D2" s="301"/>
      <c r="E2" s="301"/>
      <c r="F2" s="298" t="str">
        <f>'DOE25'!A2</f>
        <v xml:space="preserve">           Barrington School District  SAU #74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6" t="s">
        <v>770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847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A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2017-09-13T17:48:40Z</cp:lastPrinted>
  <dcterms:created xsi:type="dcterms:W3CDTF">1997-12-04T19:04:30Z</dcterms:created>
  <dcterms:modified xsi:type="dcterms:W3CDTF">2017-11-27T15:44:19Z</dcterms:modified>
</cp:coreProperties>
</file>