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0" i="12" l="1"/>
  <c r="B10" i="12"/>
  <c r="K206" i="1"/>
  <c r="H604" i="1"/>
  <c r="J197" i="1"/>
  <c r="H526" i="1"/>
  <c r="H521" i="1"/>
  <c r="J468" i="1"/>
  <c r="H358" i="1"/>
  <c r="F276" i="1"/>
  <c r="H282" i="1"/>
  <c r="H244" i="1"/>
  <c r="H240" i="1"/>
  <c r="H222" i="1"/>
  <c r="H207" i="1"/>
  <c r="H204" i="1"/>
  <c r="H203" i="1"/>
  <c r="H202" i="1"/>
  <c r="H197" i="1"/>
  <c r="H155" i="1"/>
  <c r="H154" i="1"/>
  <c r="G158" i="1"/>
  <c r="G132" i="1"/>
  <c r="F110" i="1"/>
  <c r="F9" i="1"/>
  <c r="F2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C122" i="2" s="1"/>
  <c r="L224" i="1"/>
  <c r="L242" i="1"/>
  <c r="F16" i="13"/>
  <c r="G16" i="13"/>
  <c r="E16" i="13" s="1"/>
  <c r="L209" i="1"/>
  <c r="L227" i="1"/>
  <c r="L245" i="1"/>
  <c r="F5" i="13"/>
  <c r="D5" i="13" s="1"/>
  <c r="C5" i="13" s="1"/>
  <c r="G5" i="13"/>
  <c r="L197" i="1"/>
  <c r="L198" i="1"/>
  <c r="L199" i="1"/>
  <c r="L200" i="1"/>
  <c r="L215" i="1"/>
  <c r="L216" i="1"/>
  <c r="L217" i="1"/>
  <c r="L229" i="1" s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C20" i="10" s="1"/>
  <c r="L225" i="1"/>
  <c r="D14" i="13" s="1"/>
  <c r="C14" i="13" s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H661" i="1" s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F112" i="1" s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3" i="10"/>
  <c r="C16" i="10"/>
  <c r="L250" i="1"/>
  <c r="L332" i="1"/>
  <c r="L254" i="1"/>
  <c r="L268" i="1"/>
  <c r="L269" i="1"/>
  <c r="L349" i="1"/>
  <c r="C26" i="10" s="1"/>
  <c r="L350" i="1"/>
  <c r="I665" i="1"/>
  <c r="I670" i="1"/>
  <c r="G66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D18" i="2" s="1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C78" i="2" s="1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E112" i="2"/>
  <c r="C113" i="2"/>
  <c r="E113" i="2"/>
  <c r="C114" i="2"/>
  <c r="D115" i="2"/>
  <c r="F115" i="2"/>
  <c r="G115" i="2"/>
  <c r="C119" i="2"/>
  <c r="E119" i="2"/>
  <c r="E120" i="2"/>
  <c r="E121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G32" i="1"/>
  <c r="G52" i="1" s="1"/>
  <c r="H618" i="1" s="1"/>
  <c r="H32" i="1"/>
  <c r="I32" i="1"/>
  <c r="H617" i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F257" i="1" s="1"/>
  <c r="F271" i="1" s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I452" i="1"/>
  <c r="F460" i="1"/>
  <c r="G460" i="1"/>
  <c r="G461" i="1" s="1"/>
  <c r="H640" i="1" s="1"/>
  <c r="H460" i="1"/>
  <c r="I460" i="1"/>
  <c r="F461" i="1"/>
  <c r="H461" i="1"/>
  <c r="F470" i="1"/>
  <c r="G470" i="1"/>
  <c r="H470" i="1"/>
  <c r="I470" i="1"/>
  <c r="I476" i="1" s="1"/>
  <c r="H625" i="1" s="1"/>
  <c r="J470" i="1"/>
  <c r="F474" i="1"/>
  <c r="G474" i="1"/>
  <c r="H474" i="1"/>
  <c r="H476" i="1" s="1"/>
  <c r="H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I545" i="1" s="1"/>
  <c r="J539" i="1"/>
  <c r="K539" i="1"/>
  <c r="F544" i="1"/>
  <c r="G544" i="1"/>
  <c r="H544" i="1"/>
  <c r="I544" i="1"/>
  <c r="J544" i="1"/>
  <c r="K544" i="1"/>
  <c r="L557" i="1"/>
  <c r="L558" i="1"/>
  <c r="L560" i="1" s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2" i="1"/>
  <c r="G623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J639" i="1" s="1"/>
  <c r="G641" i="1"/>
  <c r="H641" i="1"/>
  <c r="J641" i="1" s="1"/>
  <c r="G643" i="1"/>
  <c r="H643" i="1"/>
  <c r="J643" i="1" s="1"/>
  <c r="G644" i="1"/>
  <c r="H645" i="1"/>
  <c r="G650" i="1"/>
  <c r="G651" i="1"/>
  <c r="J651" i="1" s="1"/>
  <c r="G652" i="1"/>
  <c r="H652" i="1"/>
  <c r="G653" i="1"/>
  <c r="H653" i="1"/>
  <c r="G654" i="1"/>
  <c r="H654" i="1"/>
  <c r="H655" i="1"/>
  <c r="F192" i="1"/>
  <c r="G257" i="1"/>
  <c r="G271" i="1" s="1"/>
  <c r="L328" i="1"/>
  <c r="A31" i="12"/>
  <c r="F78" i="2"/>
  <c r="D50" i="2"/>
  <c r="G161" i="2"/>
  <c r="D91" i="2"/>
  <c r="G62" i="2"/>
  <c r="D29" i="13"/>
  <c r="C29" i="13" s="1"/>
  <c r="D19" i="13"/>
  <c r="C19" i="13" s="1"/>
  <c r="E78" i="2"/>
  <c r="H112" i="1"/>
  <c r="K605" i="1"/>
  <c r="G648" i="1" s="1"/>
  <c r="L419" i="1"/>
  <c r="I169" i="1"/>
  <c r="G552" i="1"/>
  <c r="J476" i="1"/>
  <c r="H626" i="1" s="1"/>
  <c r="F476" i="1"/>
  <c r="H622" i="1" s="1"/>
  <c r="J622" i="1" s="1"/>
  <c r="G476" i="1"/>
  <c r="H623" i="1" s="1"/>
  <c r="J623" i="1" s="1"/>
  <c r="G338" i="1"/>
  <c r="G352" i="1" s="1"/>
  <c r="J140" i="1"/>
  <c r="K550" i="1"/>
  <c r="G22" i="2"/>
  <c r="H140" i="1"/>
  <c r="F22" i="13"/>
  <c r="C22" i="13" s="1"/>
  <c r="J634" i="1"/>
  <c r="H338" i="1"/>
  <c r="H352" i="1" s="1"/>
  <c r="F338" i="1"/>
  <c r="F352" i="1" s="1"/>
  <c r="H192" i="1"/>
  <c r="J655" i="1"/>
  <c r="L570" i="1"/>
  <c r="I571" i="1"/>
  <c r="G36" i="2"/>
  <c r="H545" i="1"/>
  <c r="K598" i="1" l="1"/>
  <c r="G647" i="1" s="1"/>
  <c r="L534" i="1"/>
  <c r="H552" i="1"/>
  <c r="L544" i="1"/>
  <c r="L524" i="1"/>
  <c r="K551" i="1"/>
  <c r="K545" i="1"/>
  <c r="G545" i="1"/>
  <c r="K549" i="1"/>
  <c r="J640" i="1"/>
  <c r="I461" i="1"/>
  <c r="H642" i="1" s="1"/>
  <c r="H408" i="1"/>
  <c r="H644" i="1" s="1"/>
  <c r="L270" i="1"/>
  <c r="L247" i="1"/>
  <c r="C121" i="2"/>
  <c r="C12" i="10"/>
  <c r="H257" i="1"/>
  <c r="H271" i="1" s="1"/>
  <c r="K257" i="1"/>
  <c r="K271" i="1" s="1"/>
  <c r="I257" i="1"/>
  <c r="L211" i="1"/>
  <c r="C123" i="2"/>
  <c r="D7" i="13"/>
  <c r="C7" i="13" s="1"/>
  <c r="G645" i="1"/>
  <c r="J645" i="1" s="1"/>
  <c r="J644" i="1"/>
  <c r="C91" i="2"/>
  <c r="G624" i="1"/>
  <c r="J624" i="1"/>
  <c r="E31" i="2"/>
  <c r="D31" i="2"/>
  <c r="J617" i="1"/>
  <c r="C18" i="2"/>
  <c r="E128" i="2"/>
  <c r="C16" i="13"/>
  <c r="E13" i="13"/>
  <c r="C13" i="13" s="1"/>
  <c r="E8" i="13"/>
  <c r="C8" i="13" s="1"/>
  <c r="D12" i="13"/>
  <c r="C12" i="13" s="1"/>
  <c r="L290" i="1"/>
  <c r="L338" i="1" s="1"/>
  <c r="L352" i="1" s="1"/>
  <c r="G633" i="1" s="1"/>
  <c r="J633" i="1" s="1"/>
  <c r="I271" i="1"/>
  <c r="L539" i="1"/>
  <c r="K503" i="1"/>
  <c r="L382" i="1"/>
  <c r="G636" i="1" s="1"/>
  <c r="J636" i="1" s="1"/>
  <c r="K352" i="1"/>
  <c r="E109" i="2"/>
  <c r="E115" i="2" s="1"/>
  <c r="C62" i="2"/>
  <c r="F661" i="1"/>
  <c r="I661" i="1" s="1"/>
  <c r="C19" i="10"/>
  <c r="C15" i="10"/>
  <c r="C81" i="2"/>
  <c r="H660" i="1"/>
  <c r="H664" i="1" s="1"/>
  <c r="H667" i="1" s="1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115" i="2" s="1"/>
  <c r="C56" i="2"/>
  <c r="F662" i="1"/>
  <c r="I662" i="1" s="1"/>
  <c r="H25" i="13"/>
  <c r="E81" i="2"/>
  <c r="F81" i="2"/>
  <c r="L351" i="1"/>
  <c r="H647" i="1"/>
  <c r="G625" i="1"/>
  <c r="J625" i="1" s="1"/>
  <c r="L614" i="1"/>
  <c r="L529" i="1"/>
  <c r="L545" i="1" s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E145" i="2" s="1"/>
  <c r="F50" i="2"/>
  <c r="F51" i="2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G50" i="2" s="1"/>
  <c r="G51" i="2" s="1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J652" i="1"/>
  <c r="J642" i="1"/>
  <c r="G571" i="1"/>
  <c r="I434" i="1"/>
  <c r="G434" i="1"/>
  <c r="I663" i="1"/>
  <c r="C27" i="10"/>
  <c r="G635" i="1"/>
  <c r="J635" i="1" s="1"/>
  <c r="J647" i="1" l="1"/>
  <c r="K552" i="1"/>
  <c r="H646" i="1"/>
  <c r="H648" i="1"/>
  <c r="J648" i="1" s="1"/>
  <c r="L257" i="1"/>
  <c r="L271" i="1" s="1"/>
  <c r="G632" i="1" s="1"/>
  <c r="J632" i="1" s="1"/>
  <c r="G667" i="1"/>
  <c r="F660" i="1"/>
  <c r="I660" i="1" s="1"/>
  <c r="I664" i="1" s="1"/>
  <c r="I672" i="1" s="1"/>
  <c r="C7" i="10" s="1"/>
  <c r="C128" i="2"/>
  <c r="C145" i="2" s="1"/>
  <c r="E33" i="13"/>
  <c r="D35" i="13" s="1"/>
  <c r="G104" i="2"/>
  <c r="E104" i="2"/>
  <c r="H672" i="1"/>
  <c r="C6" i="10" s="1"/>
  <c r="C63" i="2"/>
  <c r="C104" i="2" s="1"/>
  <c r="C25" i="13"/>
  <c r="H33" i="13"/>
  <c r="C28" i="10"/>
  <c r="D24" i="10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F664" i="1" l="1"/>
  <c r="F672" i="1" s="1"/>
  <c r="C4" i="10" s="1"/>
  <c r="D26" i="10"/>
  <c r="C30" i="10"/>
  <c r="D10" i="10"/>
  <c r="D20" i="10"/>
  <c r="D15" i="10"/>
  <c r="D25" i="10"/>
  <c r="D19" i="10"/>
  <c r="D13" i="10"/>
  <c r="D11" i="10"/>
  <c r="D21" i="10"/>
  <c r="D22" i="10"/>
  <c r="D16" i="10"/>
  <c r="D23" i="10"/>
  <c r="D27" i="10"/>
  <c r="D18" i="10"/>
  <c r="D17" i="10"/>
  <c r="D12" i="10"/>
  <c r="I667" i="1"/>
  <c r="H656" i="1"/>
  <c r="C41" i="10"/>
  <c r="D38" i="10" s="1"/>
  <c r="F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<sst xmlns="http://schemas.openxmlformats.org/spreadsheetml/2006/main" count="3955" uniqueCount="913">
  <si>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</si>
  <si>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</si>
  <si>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</si>
  <si>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</si>
  <si>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</si>
  <si>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</si>
  <si>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</si>
  <si>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</si>
  <si>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</si>
  <si>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</si>
  <si>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</si>
  <si>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</si>
  <si>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</si>
  <si>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</si>
  <si>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</si>
  <si>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</si>
  <si>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</si>
  <si>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</si>
  <si>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</si>
  <si>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</si>
  <si>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</si>
  <si>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</si>
  <si>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</si>
  <si>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</si>
  <si>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</si>
  <si>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</si>
  <si>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</si>
  <si>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</si>
  <si>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</si>
  <si>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</si>
  <si>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</si>
  <si>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</si>
  <si>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</si>
  <si>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</si>
  <si>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</si>
  <si>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</si>
  <si>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</si>
  <si>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</si>
  <si>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</si>
  <si>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</si>
  <si>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</si>
  <si>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</si>
  <si>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</si>
  <si>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</si>
  <si>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</si>
  <si>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</si>
  <si>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</si>
  <si>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</si>
  <si>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</si>
  <si>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</si>
  <si>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</si>
  <si>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</si>
  <si>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</si>
  <si>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</si>
  <si>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</si>
  <si>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</si>
  <si>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</si>
  <si>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</si>
  <si>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</si>
  <si>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</si>
  <si>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</si>
  <si>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</si>
  <si>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</si>
  <si>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</si>
  <si>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</si>
  <si>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</si>
  <si>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</si>
  <si>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</si>
  <si>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</si>
  <si>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</si>
  <si>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</si>
  <si>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</si>
  <si>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</si>
  <si>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</si>
  <si>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</si>
  <si>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</si>
  <si>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</si>
  <si>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</si>
  <si>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</si>
  <si>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</si>
  <si>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</si>
  <si>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</si>
  <si>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</si>
  <si>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</si>
  <si>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</si>
  <si>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</si>
  <si>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</si>
  <si>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</si>
  <si>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</si>
  <si>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</si>
  <si>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</si>
  <si>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</si>
  <si>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</si>
  <si>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</si>
  <si>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</si>
  <si>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</si>
  <si>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</si>
  <si>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</si>
  <si>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</si>
  <si>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</si>
  <si>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</si>
  <si>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</si>
  <si>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</si>
  <si>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</si>
  <si>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</si>
  <si>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</si>
  <si>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</si>
  <si>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</si>
  <si>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</si>
  <si>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</si>
  <si>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</si>
  <si>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</si>
  <si>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</si>
  <si>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</si>
  <si>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</si>
  <si>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</si>
  <si>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</si>
  <si>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</si>
  <si>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</si>
  <si>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</si>
  <si>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</si>
  <si>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</si>
  <si>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</si>
  <si>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</si>
  <si>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</si>
  <si>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</si>
  <si>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</si>
  <si>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</si>
  <si>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</si>
  <si>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</si>
  <si>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</si>
  <si>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</si>
  <si>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</si>
  <si>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</si>
  <si>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</si>
  <si>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</si>
  <si>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</si>
  <si>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</si>
  <si>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</si>
  <si>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</si>
  <si>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</si>
  <si>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</si>
  <si>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</si>
  <si>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</si>
  <si>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</si>
  <si>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</si>
  <si>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</si>
  <si>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</si>
  <si>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</si>
  <si>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</si>
  <si>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</si>
  <si>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</si>
  <si>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</si>
  <si>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</si>
  <si>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</si>
  <si>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</si>
  <si>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</si>
  <si>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</si>
  <si>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</si>
  <si>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</si>
  <si>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</si>
  <si>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</si>
  <si>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</si>
  <si>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</si>
  <si>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</si>
  <si>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</si>
  <si>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</si>
  <si>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</si>
  <si>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</si>
  <si>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</si>
  <si>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</si>
  <si>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</si>
  <si>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</si>
  <si>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</si>
  <si>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</si>
  <si>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</si>
  <si>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</si>
  <si>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</si>
  <si>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</si>
  <si>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</si>
  <si>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</si>
  <si>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</si>
  <si>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</si>
  <si>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</si>
  <si>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</si>
  <si>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</si>
  <si>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</si>
  <si>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</si>
  <si>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</si>
  <si>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</si>
  <si>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</si>
  <si>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</si>
  <si>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</si>
  <si>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</si>
  <si>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</si>
  <si>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</si>
  <si>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</si>
  <si>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</si>
  <si>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</si>
  <si>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</si>
  <si>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</si>
  <si>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</si>
  <si>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</si>
  <si>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</si>
  <si>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</si>
  <si>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</si>
  <si>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</si>
  <si>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</si>
  <si>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</si>
  <si>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</si>
  <si>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</si>
  <si>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</si>
  <si>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</si>
  <si>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</si>
  <si>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</si>
  <si>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</si>
  <si>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</si>
  <si>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</si>
  <si>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</si>
  <si>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</si>
  <si>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</si>
  <si>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</si>
  <si>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</si>
  <si>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</si>
  <si>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</si>
  <si>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</si>
  <si>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</si>
  <si>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</si>
  <si>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</si>
  <si>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</si>
  <si>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</si>
  <si>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</si>
  <si>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</si>
  <si>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</si>
  <si>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</si>
  <si>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</si>
  <si>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</si>
  <si>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</si>
  <si>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</si>
  <si>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</si>
  <si>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</si>
  <si>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</si>
  <si>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</si>
  <si>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</si>
  <si>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</si>
  <si>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</si>
  <si>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</si>
  <si>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</si>
  <si>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</si>
  <si>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</si>
  <si>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</si>
  <si>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</si>
  <si>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</si>
  <si>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</si>
  <si>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</si>
  <si>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</si>
  <si>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</si>
  <si>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</si>
  <si>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</si>
  <si>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</si>
  <si>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</si>
  <si>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</si>
  <si>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</si>
  <si>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</si>
  <si>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</si>
  <si>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</si>
  <si>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</si>
  <si>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</si>
  <si>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</si>
  <si>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</si>
  <si>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</si>
  <si>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</si>
  <si>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</si>
  <si>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</si>
  <si>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</si>
  <si>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</si>
  <si>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</si>
  <si>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</si>
  <si>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</si>
  <si>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</si>
  <si>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</si>
  <si>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</si>
  <si>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</si>
  <si>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</si>
  <si>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</si>
  <si>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</si>
  <si>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</si>
  <si>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</si>
  <si>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</si>
  <si>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</si>
  <si>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</si>
  <si>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</si>
  <si>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</si>
  <si>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</si>
  <si>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</si>
  <si>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</si>
  <si>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</si>
  <si>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</si>
  <si>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</si>
  <si>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</si>
  <si>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</si>
  <si>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</si>
  <si>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</si>
  <si>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</si>
  <si>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</si>
  <si>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</si>
  <si>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</si>
  <si>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</si>
  <si>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</si>
  <si>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</si>
  <si>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</si>
  <si>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</si>
  <si>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</si>
  <si>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</si>
  <si>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</si>
  <si>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</si>
  <si>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</si>
  <si>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</si>
  <si>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</si>
  <si>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</si>
  <si>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</si>
  <si>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</si>
  <si>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</si>
  <si>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</si>
  <si>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</si>
  <si>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</si>
  <si>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</si>
  <si>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</si>
  <si>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</si>
  <si>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</si>
  <si>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</si>
  <si>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</si>
  <si>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</si>
  <si>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</si>
  <si>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</si>
  <si>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</si>
  <si>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</si>
  <si>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</si>
  <si>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</si>
  <si>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</si>
  <si>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</si>
  <si>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</si>
  <si>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</si>
  <si>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</si>
  <si>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</si>
  <si>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</si>
  <si>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</si>
  <si>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</si>
  <si>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</si>
  <si>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</si>
  <si>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</si>
  <si>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</si>
  <si>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</si>
  <si>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</si>
  <si>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</si>
  <si>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</si>
  <si>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</si>
  <si>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</si>
  <si>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</si>
  <si>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</si>
  <si>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</si>
  <si>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</si>
  <si>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</si>
  <si>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</si>
  <si>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</si>
  <si>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</si>
  <si>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</si>
  <si>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</si>
  <si>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</si>
  <si>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</si>
  <si>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</si>
  <si>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</si>
  <si>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</si>
  <si>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</si>
  <si>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</si>
  <si>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</si>
  <si>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</si>
  <si>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</si>
  <si>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</si>
  <si>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</si>
  <si>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</si>
  <si>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</si>
  <si>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</si>
  <si>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</si>
  <si>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</si>
  <si>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</si>
  <si>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</si>
  <si>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</si>
  <si>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</si>
  <si>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</si>
  <si>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</si>
  <si>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</si>
  <si>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</si>
  <si>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</si>
  <si>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</si>
  <si>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</si>
  <si>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</si>
  <si>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</si>
  <si>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</si>
  <si>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</si>
  <si>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</si>
  <si>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</si>
  <si>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</si>
  <si>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</si>
  <si>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</si>
  <si>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</si>
  <si>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</si>
  <si>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</si>
  <si>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</si>
  <si>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</si>
  <si>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</si>
  <si>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</si>
  <si>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</si>
  <si>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</si>
  <si>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</si>
  <si>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</si>
  <si>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</si>
  <si>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</si>
  <si>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</si>
  <si>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</si>
  <si>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</si>
  <si>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</si>
  <si>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</si>
  <si>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</si>
  <si>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</si>
  <si>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</si>
  <si>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</si>
  <si>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</si>
  <si>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</si>
  <si>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</si>
  <si>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</si>
  <si>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</si>
  <si>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</si>
  <si>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</si>
  <si>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</si>
  <si>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</si>
  <si>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</si>
  <si>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</si>
  <si>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</si>
  <si>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</si>
  <si>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</si>
  <si>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</si>
  <si>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</si>
  <si>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</si>
  <si>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</si>
  <si>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</si>
  <si>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</si>
  <si>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</si>
  <si>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</si>
  <si>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</si>
  <si>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</si>
  <si>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</si>
  <si>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</si>
  <si>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</si>
  <si>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</si>
  <si>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</si>
  <si>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</si>
  <si>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</si>
  <si>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</si>
  <si>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</si>
  <si>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</si>
  <si>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</si>
  <si>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</si>
  <si>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</si>
  <si>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</si>
  <si>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</si>
  <si>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</si>
  <si>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</si>
  <si>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</si>
  <si>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</si>
  <si>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</si>
  <si>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</si>
  <si>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</si>
  <si>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</si>
  <si>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</si>
  <si>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</si>
  <si>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</si>
  <si>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</si>
  <si>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</si>
  <si>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</si>
  <si>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</si>
  <si>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</si>
  <si>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</si>
  <si>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</si>
  <si>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</si>
  <si>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</si>
  <si>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</si>
  <si>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</si>
  <si>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</si>
  <si>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</si>
  <si>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</si>
  <si>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</si>
  <si>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</si>
  <si>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</si>
  <si>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</si>
  <si>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</si>
  <si>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</si>
  <si>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</si>
  <si>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</si>
  <si>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</si>
  <si>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</si>
  <si>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</si>
  <si>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</si>
  <si>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</si>
  <si>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</si>
  <si>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</si>
  <si>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</si>
  <si>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</si>
  <si>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</si>
  <si>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</si>
  <si>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</si>
  <si>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</si>
  <si>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</si>
  <si>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</si>
  <si>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</si>
  <si>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</si>
  <si>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</si>
  <si>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</si>
  <si>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</si>
  <si>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</si>
  <si>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</si>
  <si>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</si>
  <si>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</si>
  <si>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</si>
  <si>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</si>
  <si>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</si>
  <si>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</si>
  <si>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</si>
  <si>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</si>
  <si>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</si>
  <si>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</si>
  <si>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</si>
  <si>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</si>
  <si>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</si>
  <si>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</si>
  <si>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</si>
  <si>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</si>
  <si>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</si>
  <si>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</si>
  <si>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</si>
  <si>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</si>
  <si>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</si>
  <si>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</si>
  <si>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</si>
  <si>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</si>
  <si>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</si>
  <si>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</si>
  <si>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</si>
  <si>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</si>
  <si>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</si>
  <si>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</si>
  <si>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</si>
  <si>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</si>
  <si>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</si>
  <si>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</si>
  <si>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</si>
  <si>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</si>
  <si>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</si>
  <si>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</si>
  <si>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</si>
  <si>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</si>
  <si>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</si>
  <si>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</si>
  <si>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</si>
  <si>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</si>
  <si>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</si>
  <si>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</si>
  <si>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</si>
  <si>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</si>
  <si>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</si>
  <si>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</si>
  <si>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</si>
  <si>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</si>
  <si>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</si>
  <si>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</si>
  <si>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</si>
  <si>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</si>
  <si>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</si>
  <si>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</si>
  <si>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</si>
  <si>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</si>
  <si>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</si>
  <si>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</si>
  <si>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</si>
  <si>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</si>
  <si>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</si>
  <si>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</si>
  <si>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</si>
  <si>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</si>
  <si>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</si>
  <si>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</si>
  <si>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</si>
  <si>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</si>
  <si>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</si>
  <si>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</si>
  <si>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</si>
  <si>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</si>
  <si>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</si>
  <si>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</si>
  <si>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</si>
  <si>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</si>
  <si>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</si>
  <si>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</si>
  <si>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</si>
  <si>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</si>
  <si>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</si>
  <si>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</si>
  <si>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</si>
  <si>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</si>
  <si>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</si>
  <si>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</si>
  <si>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</si>
  <si>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</si>
  <si>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</si>
  <si>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</si>
  <si>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</si>
  <si>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</si>
  <si>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</si>
  <si>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</si>
  <si>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</si>
  <si>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</si>
  <si>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</si>
  <si>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</si>
  <si>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</si>
  <si>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</si>
  <si>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</si>
  <si>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</si>
  <si>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</si>
  <si>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</si>
  <si>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</si>
  <si>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</si>
  <si>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</si>
  <si>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</si>
  <si>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</si>
  <si>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</si>
  <si>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</si>
  <si>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</si>
  <si>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</si>
  <si>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</si>
  <si>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</si>
  <si>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</si>
  <si>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</si>
  <si>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</si>
  <si>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</si>
  <si>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</si>
  <si>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</si>
  <si>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</si>
  <si>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</si>
  <si>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</si>
  <si>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</si>
  <si>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</si>
  <si>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</si>
  <si>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</si>
  <si>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</si>
  <si>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</si>
  <si>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</si>
  <si>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</si>
  <si>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</si>
  <si>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</si>
  <si>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</si>
  <si>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</si>
  <si>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</si>
  <si>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</si>
  <si>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</si>
  <si>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</si>
  <si>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</si>
  <si>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</si>
  <si>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</si>
  <si>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</si>
  <si>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</si>
  <si>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</si>
  <si>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</si>
  <si>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</si>
  <si>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</si>
  <si>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</si>
  <si>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</si>
  <si>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</si>
  <si>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</si>
  <si>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</si>
  <si>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</si>
  <si>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</si>
  <si>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</si>
  <si>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</si>
  <si>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</si>
  <si>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</si>
  <si>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</si>
  <si>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</si>
  <si>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</si>
  <si>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</si>
  <si>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</si>
  <si>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</si>
  <si>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</si>
  <si>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</si>
  <si>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</si>
  <si>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</si>
  <si>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</si>
  <si>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</si>
  <si>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</si>
  <si>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</si>
  <si>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</si>
  <si>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</si>
  <si>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</si>
  <si>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</si>
  <si>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</si>
  <si>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</si>
  <si>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</si>
  <si>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</si>
  <si>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</si>
  <si>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</si>
  <si>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</si>
  <si>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</si>
  <si>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</si>
  <si>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</si>
  <si>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</si>
  <si>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</si>
  <si>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</si>
  <si>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</si>
  <si>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</si>
  <si>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</si>
  <si>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</si>
  <si>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</si>
  <si>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</si>
  <si>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</si>
  <si>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</si>
  <si>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</si>
  <si>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</si>
  <si>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</si>
  <si>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</si>
  <si>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</si>
  <si>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</si>
  <si>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</si>
  <si>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</si>
  <si>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</si>
  <si>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</si>
  <si>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</si>
  <si>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</si>
  <si>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</si>
  <si>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</si>
  <si>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</si>
  <si>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</si>
  <si>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</si>
  <si>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</si>
  <si>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</si>
  <si>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</si>
  <si>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</si>
  <si>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</si>
  <si>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</si>
  <si>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</si>
  <si>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</si>
  <si>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</si>
  <si>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</si>
  <si>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</si>
  <si>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</si>
  <si>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</si>
  <si>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</si>
  <si>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</si>
  <si>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</si>
  <si>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</si>
  <si>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</si>
  <si>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</si>
  <si>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</si>
  <si>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</si>
  <si>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</si>
  <si>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</si>
  <si>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</si>
  <si>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</si>
  <si>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</si>
  <si>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</si>
  <si>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</si>
  <si>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</si>
  <si>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</si>
  <si>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</si>
  <si>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</si>
  <si>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</si>
  <si>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</si>
  <si>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</si>
  <si>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</si>
  <si>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</si>
  <si>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</si>
  <si>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</si>
  <si>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</si>
  <si>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</si>
  <si>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</si>
  <si>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</si>
  <si>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</si>
  <si>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</si>
  <si>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</si>
  <si>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</si>
  <si>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</si>
  <si>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</si>
  <si>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</si>
  <si>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</si>
  <si>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</si>
  <si>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</si>
  <si>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</si>
  <si>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</si>
  <si>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</si>
  <si>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</si>
  <si>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</si>
  <si>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</si>
  <si>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</si>
  <si>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</si>
  <si>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</si>
  <si>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</si>
  <si>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</si>
  <si>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</si>
  <si>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</si>
  <si>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</si>
  <si>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</si>
  <si>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</si>
  <si>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</si>
  <si>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</si>
  <si>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</si>
  <si>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</si>
  <si>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</si>
  <si>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</si>
  <si>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</si>
  <si>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</si>
  <si>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</si>
  <si>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</si>
  <si>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</si>
  <si>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</si>
  <si>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</si>
  <si>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</si>
  <si>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</si>
  <si>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</si>
  <si>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</si>
  <si>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</si>
  <si>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</si>
  <si>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</si>
  <si>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</si>
  <si>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</si>
  <si>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</si>
  <si>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</si>
  <si>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</si>
  <si>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</si>
  <si>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</si>
  <si>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</si>
  <si>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</si>
  <si>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</si>
  <si>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</si>
  <si>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</si>
  <si>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</si>
  <si>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</si>
  <si>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</si>
  <si>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</si>
  <si>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</si>
  <si>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</si>
  <si>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</si>
  <si>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</si>
  <si>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</si>
  <si>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</si>
  <si>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</si>
  <si>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</si>
  <si>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</si>
  <si>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</si>
  <si>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</si>
  <si>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</si>
  <si>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</si>
  <si>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</si>
  <si>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</si>
  <si>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</si>
  <si>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</si>
  <si>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</si>
  <si>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</si>
  <si>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</si>
  <si>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</si>
  <si>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</si>
  <si>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</si>
  <si>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</si>
  <si>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</si>
  <si>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</si>
  <si>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</si>
  <si>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</si>
  <si>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</si>
  <si>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</si>
  <si>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</si>
  <si>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</si>
  <si>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</si>
  <si>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</si>
  <si>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</si>
  <si>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</si>
  <si>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</si>
  <si>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</si>
  <si>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</si>
  <si>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</si>
  <si>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</si>
  <si>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</si>
  <si>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</si>
  <si>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</si>
  <si>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</si>
  <si>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</si>
  <si>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</si>
  <si>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</si>
  <si>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</si>
  <si>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</si>
  <si>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</si>
  <si>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</si>
  <si>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</si>
  <si>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</si>
  <si>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</si>
  <si>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</si>
  <si>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</si>
  <si>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</si>
  <si>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</si>
  <si>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</si>
  <si>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</si>
  <si>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</si>
  <si>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</si>
  <si>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</si>
  <si>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</si>
  <si>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</si>
  <si>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Bath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</si>
</sst>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0" zoomScaleNormal="12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39</v>
      </c>
      <c r="C2" s="21">
        <v>39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11781-1</f>
        <v>11780</v>
      </c>
      <c r="G9" s="18"/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31138</v>
      </c>
      <c r="G12" s="18"/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955</v>
      </c>
      <c r="G13" s="18">
        <v>5763</v>
      </c>
      <c r="H13" s="18">
        <v>27920</v>
      </c>
      <c r="I13" s="18"/>
      <c r="J13" s="67">
        <f>SUM(I442)</f>
        <v>133941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275</v>
      </c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44148</v>
      </c>
      <c r="G19" s="41">
        <f>SUM(G9:G18)</f>
        <v>5763</v>
      </c>
      <c r="H19" s="41">
        <f>SUM(H9:H18)</f>
        <v>27920</v>
      </c>
      <c r="I19" s="41">
        <f>SUM(I9:I18)</f>
        <v>0</v>
      </c>
      <c r="J19" s="41">
        <f>SUM(J9:J18)</f>
        <v>133941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>
        <v>5499</v>
      </c>
      <c r="H22" s="18">
        <v>25639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f>42291+669</f>
        <v>42960</v>
      </c>
      <c r="G24" s="18">
        <v>264</v>
      </c>
      <c r="H24" s="18">
        <v>794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910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/>
      <c r="G30" s="18"/>
      <c r="H30" s="18">
        <v>288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43870</v>
      </c>
      <c r="G32" s="41">
        <f>SUM(G22:G31)</f>
        <v>5763</v>
      </c>
      <c r="H32" s="41">
        <f>SUM(H22:H31)</f>
        <v>26721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275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>
        <v>1199</v>
      </c>
      <c r="I48" s="18"/>
      <c r="J48" s="13">
        <f>SUM(I459)</f>
        <v>133941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3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278</v>
      </c>
      <c r="G51" s="41">
        <f>SUM(G35:G50)</f>
        <v>0</v>
      </c>
      <c r="H51" s="41">
        <f>SUM(H35:H50)</f>
        <v>1199</v>
      </c>
      <c r="I51" s="41">
        <f>SUM(I35:I50)</f>
        <v>0</v>
      </c>
      <c r="J51" s="41">
        <f>SUM(J35:J50)</f>
        <v>133941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44148</v>
      </c>
      <c r="G52" s="41">
        <f>G51+G32</f>
        <v>5763</v>
      </c>
      <c r="H52" s="41">
        <f>H51+H32</f>
        <v>27920</v>
      </c>
      <c r="I52" s="41">
        <f>I51+I32</f>
        <v>0</v>
      </c>
      <c r="J52" s="41">
        <f>J51+J32</f>
        <v>133941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1311092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1311092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94</v>
      </c>
      <c r="G96" s="18"/>
      <c r="H96" s="18"/>
      <c r="I96" s="18"/>
      <c r="J96" s="18">
        <v>63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10370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2817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1985+1</f>
        <v>1986</v>
      </c>
      <c r="G110" s="18">
        <v>112</v>
      </c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4897</v>
      </c>
      <c r="G111" s="41">
        <f>SUM(G96:G110)</f>
        <v>10482</v>
      </c>
      <c r="H111" s="41">
        <f>SUM(H96:H110)</f>
        <v>0</v>
      </c>
      <c r="I111" s="41">
        <f>SUM(I96:I110)</f>
        <v>0</v>
      </c>
      <c r="J111" s="41">
        <f>SUM(J96:J110)</f>
        <v>63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1315989</v>
      </c>
      <c r="G112" s="41">
        <f>G60+G111</f>
        <v>10482</v>
      </c>
      <c r="H112" s="41">
        <f>H60+H79+H94+H111</f>
        <v>0</v>
      </c>
      <c r="I112" s="41">
        <f>I60+I111</f>
        <v>0</v>
      </c>
      <c r="J112" s="41">
        <f>J60+J111</f>
        <v>63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591578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239883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831461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/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/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6006</v>
      </c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797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f>9+539</f>
        <v>548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6803</v>
      </c>
      <c r="G136" s="41">
        <f>SUM(G123:G135)</f>
        <v>548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838264</v>
      </c>
      <c r="G140" s="41">
        <f>G121+SUM(G136:G137)</f>
        <v>548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27224+12500</f>
        <v>39724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16017</f>
        <v>16017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f>3332+467+10445</f>
        <v>14244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7182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7182</v>
      </c>
      <c r="G162" s="41">
        <f>SUM(G150:G161)</f>
        <v>14244</v>
      </c>
      <c r="H162" s="41">
        <f>SUM(H150:H161)</f>
        <v>55741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200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7382</v>
      </c>
      <c r="G169" s="41">
        <f>G147+G162+SUM(G163:G168)</f>
        <v>14244</v>
      </c>
      <c r="H169" s="41">
        <f>H147+H162+SUM(H163:H168)</f>
        <v>55741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24655</v>
      </c>
      <c r="H179" s="18"/>
      <c r="I179" s="18"/>
      <c r="J179" s="18">
        <v>20000</v>
      </c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24655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24655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2161635</v>
      </c>
      <c r="G193" s="47">
        <f>G112+G140+G169+G192</f>
        <v>49929</v>
      </c>
      <c r="H193" s="47">
        <f>H112+H140+H169+H192</f>
        <v>55741</v>
      </c>
      <c r="I193" s="47">
        <f>I112+I140+I169+I192</f>
        <v>0</v>
      </c>
      <c r="J193" s="47">
        <f>J112+J140+J192</f>
        <v>20063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314657</v>
      </c>
      <c r="G197" s="18">
        <v>118194</v>
      </c>
      <c r="H197" s="18">
        <f>49465+111</f>
        <v>49576</v>
      </c>
      <c r="I197" s="18">
        <v>18683</v>
      </c>
      <c r="J197" s="18">
        <f>421-1</f>
        <v>420</v>
      </c>
      <c r="K197" s="18">
        <v>1147</v>
      </c>
      <c r="L197" s="19">
        <f>SUM(F197:K197)</f>
        <v>502677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73788</v>
      </c>
      <c r="G198" s="18">
        <v>32989</v>
      </c>
      <c r="H198" s="18">
        <v>13300</v>
      </c>
      <c r="I198" s="18">
        <v>428</v>
      </c>
      <c r="J198" s="18">
        <v>3002</v>
      </c>
      <c r="K198" s="18">
        <v>125</v>
      </c>
      <c r="L198" s="19">
        <f>SUM(F198:K198)</f>
        <v>123632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3050</v>
      </c>
      <c r="G200" s="18">
        <v>713</v>
      </c>
      <c r="H200" s="18">
        <v>1031</v>
      </c>
      <c r="I200" s="18">
        <v>446</v>
      </c>
      <c r="J200" s="18"/>
      <c r="K200" s="18">
        <v>228</v>
      </c>
      <c r="L200" s="19">
        <f>SUM(F200:K200)</f>
        <v>5468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13105</v>
      </c>
      <c r="G202" s="18">
        <v>1159</v>
      </c>
      <c r="H202" s="18">
        <f>33775</f>
        <v>33775</v>
      </c>
      <c r="I202" s="18">
        <v>2571</v>
      </c>
      <c r="J202" s="18"/>
      <c r="K202" s="18"/>
      <c r="L202" s="19">
        <f t="shared" ref="L202:L208" si="0">SUM(F202:K202)</f>
        <v>50610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151</v>
      </c>
      <c r="G203" s="18">
        <v>1208</v>
      </c>
      <c r="H203" s="18">
        <f>952+431</f>
        <v>1383</v>
      </c>
      <c r="I203" s="18">
        <v>1917</v>
      </c>
      <c r="J203" s="18">
        <v>10165</v>
      </c>
      <c r="K203" s="18"/>
      <c r="L203" s="19">
        <f t="shared" si="0"/>
        <v>14824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1818</v>
      </c>
      <c r="G204" s="18">
        <v>69</v>
      </c>
      <c r="H204" s="18">
        <f>72132+1704</f>
        <v>73836</v>
      </c>
      <c r="I204" s="18">
        <v>82</v>
      </c>
      <c r="J204" s="18"/>
      <c r="K204" s="18">
        <v>1347</v>
      </c>
      <c r="L204" s="19">
        <f t="shared" si="0"/>
        <v>77152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93371</v>
      </c>
      <c r="G205" s="18">
        <v>39958</v>
      </c>
      <c r="H205" s="18">
        <v>2276</v>
      </c>
      <c r="I205" s="18">
        <v>3019</v>
      </c>
      <c r="J205" s="18">
        <v>39</v>
      </c>
      <c r="K205" s="18"/>
      <c r="L205" s="19">
        <f t="shared" si="0"/>
        <v>138663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>
        <f>2921</f>
        <v>2921</v>
      </c>
      <c r="L206" s="19">
        <f t="shared" si="0"/>
        <v>2921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29336</v>
      </c>
      <c r="G207" s="18">
        <v>14686</v>
      </c>
      <c r="H207" s="18">
        <f>24715+60501+812</f>
        <v>86028</v>
      </c>
      <c r="I207" s="18">
        <v>37822</v>
      </c>
      <c r="J207" s="18"/>
      <c r="K207" s="18">
        <v>505</v>
      </c>
      <c r="L207" s="19">
        <f t="shared" si="0"/>
        <v>168377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56925</v>
      </c>
      <c r="I208" s="18"/>
      <c r="J208" s="18"/>
      <c r="K208" s="18"/>
      <c r="L208" s="19">
        <f t="shared" si="0"/>
        <v>56925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v>1961</v>
      </c>
      <c r="I209" s="18">
        <v>329</v>
      </c>
      <c r="J209" s="18">
        <v>729</v>
      </c>
      <c r="K209" s="18"/>
      <c r="L209" s="19">
        <f>SUM(F209:K209)</f>
        <v>3019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529276</v>
      </c>
      <c r="G211" s="41">
        <f t="shared" si="1"/>
        <v>208976</v>
      </c>
      <c r="H211" s="41">
        <f t="shared" si="1"/>
        <v>320091</v>
      </c>
      <c r="I211" s="41">
        <f t="shared" si="1"/>
        <v>65297</v>
      </c>
      <c r="J211" s="41">
        <f t="shared" si="1"/>
        <v>14355</v>
      </c>
      <c r="K211" s="41">
        <f t="shared" si="1"/>
        <v>6273</v>
      </c>
      <c r="L211" s="41">
        <f t="shared" si="1"/>
        <v>1144268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>
        <v>332830</v>
      </c>
      <c r="I215" s="18"/>
      <c r="J215" s="18"/>
      <c r="K215" s="18"/>
      <c r="L215" s="19">
        <f>SUM(F215:K215)</f>
        <v>332830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>
        <v>39559</v>
      </c>
      <c r="I216" s="18"/>
      <c r="J216" s="18"/>
      <c r="K216" s="18"/>
      <c r="L216" s="19">
        <f>SUM(F216:K216)</f>
        <v>39559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>
        <v>1297</v>
      </c>
      <c r="I218" s="18"/>
      <c r="J218" s="18"/>
      <c r="K218" s="18"/>
      <c r="L218" s="19">
        <f>SUM(F218:K218)</f>
        <v>1297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>
        <v>1800</v>
      </c>
      <c r="I220" s="18"/>
      <c r="J220" s="18"/>
      <c r="K220" s="18"/>
      <c r="L220" s="19">
        <f t="shared" ref="L220:L226" si="2">SUM(F220:K220)</f>
        <v>1800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462</v>
      </c>
      <c r="G222" s="18">
        <v>22</v>
      </c>
      <c r="H222" s="18">
        <f>13920+415</f>
        <v>14335</v>
      </c>
      <c r="I222" s="18">
        <v>16</v>
      </c>
      <c r="J222" s="18"/>
      <c r="K222" s="18">
        <v>260</v>
      </c>
      <c r="L222" s="19">
        <f t="shared" si="2"/>
        <v>15095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v>23317</v>
      </c>
      <c r="I226" s="18"/>
      <c r="J226" s="18"/>
      <c r="K226" s="18"/>
      <c r="L226" s="19">
        <f t="shared" si="2"/>
        <v>23317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462</v>
      </c>
      <c r="G229" s="41">
        <f>SUM(G215:G228)</f>
        <v>22</v>
      </c>
      <c r="H229" s="41">
        <f>SUM(H215:H228)</f>
        <v>413138</v>
      </c>
      <c r="I229" s="41">
        <f>SUM(I215:I228)</f>
        <v>16</v>
      </c>
      <c r="J229" s="41">
        <f>SUM(J215:J228)</f>
        <v>0</v>
      </c>
      <c r="K229" s="41">
        <f t="shared" si="3"/>
        <v>260</v>
      </c>
      <c r="L229" s="41">
        <f t="shared" si="3"/>
        <v>413898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531178</v>
      </c>
      <c r="I233" s="18"/>
      <c r="J233" s="18"/>
      <c r="K233" s="18"/>
      <c r="L233" s="19">
        <f>SUM(F233:K233)</f>
        <v>531178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11553</v>
      </c>
      <c r="I234" s="18"/>
      <c r="J234" s="18"/>
      <c r="K234" s="18"/>
      <c r="L234" s="19">
        <f>SUM(F234:K234)</f>
        <v>11553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7890</v>
      </c>
      <c r="I235" s="18"/>
      <c r="J235" s="18"/>
      <c r="K235" s="18"/>
      <c r="L235" s="19">
        <f>SUM(F235:K235)</f>
        <v>7890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>
        <v>1534</v>
      </c>
      <c r="I236" s="18"/>
      <c r="J236" s="18"/>
      <c r="K236" s="18"/>
      <c r="L236" s="19">
        <f>SUM(F236:K236)</f>
        <v>1534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1055</v>
      </c>
      <c r="G240" s="18">
        <v>41</v>
      </c>
      <c r="H240" s="18">
        <f>40495+1031</f>
        <v>41526</v>
      </c>
      <c r="I240" s="18"/>
      <c r="J240" s="18"/>
      <c r="K240" s="18"/>
      <c r="L240" s="19">
        <f t="shared" si="4"/>
        <v>42622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>
        <v>46</v>
      </c>
      <c r="J241" s="18"/>
      <c r="K241" s="18">
        <v>756</v>
      </c>
      <c r="L241" s="19">
        <f t="shared" si="4"/>
        <v>802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29337</f>
        <v>29337</v>
      </c>
      <c r="I244" s="18"/>
      <c r="J244" s="18"/>
      <c r="K244" s="18"/>
      <c r="L244" s="19">
        <f t="shared" si="4"/>
        <v>29337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1055</v>
      </c>
      <c r="G247" s="41">
        <f t="shared" si="5"/>
        <v>41</v>
      </c>
      <c r="H247" s="41">
        <f t="shared" si="5"/>
        <v>623018</v>
      </c>
      <c r="I247" s="41">
        <f t="shared" si="5"/>
        <v>46</v>
      </c>
      <c r="J247" s="41">
        <f t="shared" si="5"/>
        <v>0</v>
      </c>
      <c r="K247" s="41">
        <f t="shared" si="5"/>
        <v>756</v>
      </c>
      <c r="L247" s="41">
        <f t="shared" si="5"/>
        <v>624916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530793</v>
      </c>
      <c r="G257" s="41">
        <f t="shared" si="8"/>
        <v>209039</v>
      </c>
      <c r="H257" s="41">
        <f t="shared" si="8"/>
        <v>1356247</v>
      </c>
      <c r="I257" s="41">
        <f t="shared" si="8"/>
        <v>65359</v>
      </c>
      <c r="J257" s="41">
        <f t="shared" si="8"/>
        <v>14355</v>
      </c>
      <c r="K257" s="41">
        <f t="shared" si="8"/>
        <v>7289</v>
      </c>
      <c r="L257" s="41">
        <f t="shared" si="8"/>
        <v>2183082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24655</v>
      </c>
      <c r="L263" s="19">
        <f>SUM(F263:K263)</f>
        <v>24655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20000</v>
      </c>
      <c r="L266" s="19">
        <f t="shared" si="9"/>
        <v>20000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44655</v>
      </c>
      <c r="L270" s="41">
        <f t="shared" si="9"/>
        <v>44655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530793</v>
      </c>
      <c r="G271" s="42">
        <f t="shared" si="11"/>
        <v>209039</v>
      </c>
      <c r="H271" s="42">
        <f t="shared" si="11"/>
        <v>1356247</v>
      </c>
      <c r="I271" s="42">
        <f t="shared" si="11"/>
        <v>65359</v>
      </c>
      <c r="J271" s="42">
        <f t="shared" si="11"/>
        <v>14355</v>
      </c>
      <c r="K271" s="42">
        <f t="shared" si="11"/>
        <v>51944</v>
      </c>
      <c r="L271" s="42">
        <f t="shared" si="11"/>
        <v>2227737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15805+1</f>
        <v>15806</v>
      </c>
      <c r="G276" s="18">
        <v>1209</v>
      </c>
      <c r="H276" s="18"/>
      <c r="I276" s="18">
        <v>9216</v>
      </c>
      <c r="J276" s="18">
        <v>200</v>
      </c>
      <c r="K276" s="18"/>
      <c r="L276" s="19">
        <f>SUM(F276:K276)</f>
        <v>26431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3749</v>
      </c>
      <c r="G282" s="18">
        <v>3180</v>
      </c>
      <c r="H282" s="18">
        <f>17100+4487</f>
        <v>21587</v>
      </c>
      <c r="I282" s="18"/>
      <c r="J282" s="18"/>
      <c r="K282" s="18"/>
      <c r="L282" s="19">
        <f t="shared" si="12"/>
        <v>28516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>
        <v>794</v>
      </c>
      <c r="L283" s="19">
        <f t="shared" si="12"/>
        <v>794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19555</v>
      </c>
      <c r="G290" s="42">
        <f t="shared" si="13"/>
        <v>4389</v>
      </c>
      <c r="H290" s="42">
        <f t="shared" si="13"/>
        <v>21587</v>
      </c>
      <c r="I290" s="42">
        <f t="shared" si="13"/>
        <v>9216</v>
      </c>
      <c r="J290" s="42">
        <f t="shared" si="13"/>
        <v>200</v>
      </c>
      <c r="K290" s="42">
        <f t="shared" si="13"/>
        <v>794</v>
      </c>
      <c r="L290" s="41">
        <f t="shared" si="13"/>
        <v>55741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19555</v>
      </c>
      <c r="G338" s="41">
        <f t="shared" si="20"/>
        <v>4389</v>
      </c>
      <c r="H338" s="41">
        <f t="shared" si="20"/>
        <v>21587</v>
      </c>
      <c r="I338" s="41">
        <f t="shared" si="20"/>
        <v>9216</v>
      </c>
      <c r="J338" s="41">
        <f t="shared" si="20"/>
        <v>200</v>
      </c>
      <c r="K338" s="41">
        <f t="shared" si="20"/>
        <v>794</v>
      </c>
      <c r="L338" s="41">
        <f t="shared" si="20"/>
        <v>55741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19555</v>
      </c>
      <c r="G352" s="41">
        <f>G338</f>
        <v>4389</v>
      </c>
      <c r="H352" s="41">
        <f>H338</f>
        <v>21587</v>
      </c>
      <c r="I352" s="41">
        <f>I338</f>
        <v>9216</v>
      </c>
      <c r="J352" s="41">
        <f>J338</f>
        <v>200</v>
      </c>
      <c r="K352" s="47">
        <f>K338+K351</f>
        <v>794</v>
      </c>
      <c r="L352" s="41">
        <f>L338+L351</f>
        <v>55741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5173</v>
      </c>
      <c r="G358" s="18">
        <v>460</v>
      </c>
      <c r="H358" s="18">
        <f>43702+594</f>
        <v>44296</v>
      </c>
      <c r="I358" s="18"/>
      <c r="J358" s="18"/>
      <c r="K358" s="18"/>
      <c r="L358" s="13">
        <f>SUM(F358:K358)</f>
        <v>49929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5173</v>
      </c>
      <c r="G362" s="47">
        <f t="shared" si="22"/>
        <v>460</v>
      </c>
      <c r="H362" s="47">
        <f t="shared" si="22"/>
        <v>44296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49929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/>
      <c r="G368" s="63"/>
      <c r="H368" s="63"/>
      <c r="I368" s="56">
        <f>SUM(F368:H368)</f>
        <v>0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>
        <v>20000</v>
      </c>
      <c r="H396" s="18">
        <v>16</v>
      </c>
      <c r="I396" s="18"/>
      <c r="J396" s="24" t="s">
        <v>288</v>
      </c>
      <c r="K396" s="24" t="s">
        <v>288</v>
      </c>
      <c r="L396" s="56">
        <f t="shared" si="26"/>
        <v>20016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>
        <v>24</v>
      </c>
      <c r="I397" s="18"/>
      <c r="J397" s="24" t="s">
        <v>288</v>
      </c>
      <c r="K397" s="24" t="s">
        <v>288</v>
      </c>
      <c r="L397" s="56">
        <f t="shared" si="26"/>
        <v>24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>
        <v>23</v>
      </c>
      <c r="I398" s="18"/>
      <c r="J398" s="24" t="s">
        <v>288</v>
      </c>
      <c r="K398" s="24" t="s">
        <v>288</v>
      </c>
      <c r="L398" s="56">
        <f t="shared" si="26"/>
        <v>23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63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20063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63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20063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>
        <v>133941</v>
      </c>
      <c r="H442" s="18"/>
      <c r="I442" s="56">
        <f t="shared" si="33"/>
        <v>133941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133941</v>
      </c>
      <c r="H446" s="13">
        <f>SUM(H439:H445)</f>
        <v>0</v>
      </c>
      <c r="I446" s="13">
        <f>SUM(I439:I445)</f>
        <v>133941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133941</v>
      </c>
      <c r="H459" s="18"/>
      <c r="I459" s="56">
        <f t="shared" si="34"/>
        <v>133941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133941</v>
      </c>
      <c r="H460" s="83">
        <f>SUM(H454:H459)</f>
        <v>0</v>
      </c>
      <c r="I460" s="83">
        <f>SUM(I454:I459)</f>
        <v>133941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133941</v>
      </c>
      <c r="H461" s="42">
        <f>H452+H460</f>
        <v>0</v>
      </c>
      <c r="I461" s="42">
        <f>I452+I460</f>
        <v>133941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66380</v>
      </c>
      <c r="G465" s="18">
        <v>0</v>
      </c>
      <c r="H465" s="18">
        <v>1199</v>
      </c>
      <c r="I465" s="18"/>
      <c r="J465" s="18">
        <v>113878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2161635</v>
      </c>
      <c r="G468" s="18">
        <v>49929</v>
      </c>
      <c r="H468" s="18">
        <v>55741</v>
      </c>
      <c r="I468" s="18"/>
      <c r="J468" s="18">
        <f>20063</f>
        <v>20063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2161635</v>
      </c>
      <c r="G470" s="53">
        <f>SUM(G468:G469)</f>
        <v>49929</v>
      </c>
      <c r="H470" s="53">
        <f>SUM(H468:H469)</f>
        <v>55741</v>
      </c>
      <c r="I470" s="53">
        <f>SUM(I468:I469)</f>
        <v>0</v>
      </c>
      <c r="J470" s="53">
        <f>SUM(J468:J469)</f>
        <v>20063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2227737</v>
      </c>
      <c r="G472" s="18">
        <v>49929</v>
      </c>
      <c r="H472" s="18">
        <v>55741</v>
      </c>
      <c r="I472" s="18"/>
      <c r="J472" s="18">
        <v>0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2227737</v>
      </c>
      <c r="G474" s="53">
        <f>SUM(G472:G473)</f>
        <v>49929</v>
      </c>
      <c r="H474" s="53">
        <f>SUM(H472:H473)</f>
        <v>55741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278</v>
      </c>
      <c r="G476" s="53">
        <f>(G465+G470)- G474</f>
        <v>0</v>
      </c>
      <c r="H476" s="53">
        <f>(H465+H470)- H474</f>
        <v>1199</v>
      </c>
      <c r="I476" s="53">
        <f>(I465+I470)- I474</f>
        <v>0</v>
      </c>
      <c r="J476" s="53">
        <f>(J465+J470)- J474</f>
        <v>133941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/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/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/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/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/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73788</v>
      </c>
      <c r="G521" s="18">
        <v>32989</v>
      </c>
      <c r="H521" s="18">
        <f>13300</f>
        <v>13300</v>
      </c>
      <c r="I521" s="18">
        <v>428</v>
      </c>
      <c r="J521" s="18">
        <v>3002</v>
      </c>
      <c r="K521" s="18">
        <v>125</v>
      </c>
      <c r="L521" s="88">
        <f>SUM(F521:K521)</f>
        <v>123632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>
        <v>39559</v>
      </c>
      <c r="I522" s="18"/>
      <c r="J522" s="18"/>
      <c r="K522" s="18"/>
      <c r="L522" s="88">
        <f>SUM(F522:K522)</f>
        <v>39559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v>11553</v>
      </c>
      <c r="I523" s="18"/>
      <c r="J523" s="18"/>
      <c r="K523" s="18"/>
      <c r="L523" s="88">
        <f>SUM(F523:K523)</f>
        <v>11553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73788</v>
      </c>
      <c r="G524" s="108">
        <f t="shared" ref="G524:L524" si="36">SUM(G521:G523)</f>
        <v>32989</v>
      </c>
      <c r="H524" s="108">
        <f t="shared" si="36"/>
        <v>64412</v>
      </c>
      <c r="I524" s="108">
        <f t="shared" si="36"/>
        <v>428</v>
      </c>
      <c r="J524" s="108">
        <f t="shared" si="36"/>
        <v>3002</v>
      </c>
      <c r="K524" s="108">
        <f t="shared" si="36"/>
        <v>125</v>
      </c>
      <c r="L524" s="89">
        <f t="shared" si="36"/>
        <v>174744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/>
      <c r="G526" s="18"/>
      <c r="H526" s="18">
        <f>16759</f>
        <v>16759</v>
      </c>
      <c r="I526" s="18"/>
      <c r="J526" s="18"/>
      <c r="K526" s="18"/>
      <c r="L526" s="88">
        <f>SUM(F526:K526)</f>
        <v>16759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>
        <v>1800</v>
      </c>
      <c r="I527" s="18"/>
      <c r="J527" s="18"/>
      <c r="K527" s="18"/>
      <c r="L527" s="88">
        <f>SUM(F527:K527)</f>
        <v>1800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18559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18559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/>
      <c r="G531" s="18"/>
      <c r="H531" s="18">
        <v>15310</v>
      </c>
      <c r="I531" s="18"/>
      <c r="J531" s="18"/>
      <c r="K531" s="18"/>
      <c r="L531" s="88">
        <f>SUM(F531:K531)</f>
        <v>15310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>
        <v>2955</v>
      </c>
      <c r="I532" s="18"/>
      <c r="J532" s="18"/>
      <c r="K532" s="18"/>
      <c r="L532" s="88">
        <f>SUM(F532:K532)</f>
        <v>2955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>
        <v>8595</v>
      </c>
      <c r="I533" s="18"/>
      <c r="J533" s="18"/>
      <c r="K533" s="18"/>
      <c r="L533" s="88">
        <f>SUM(F533:K533)</f>
        <v>8595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26860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26860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3236</v>
      </c>
      <c r="I541" s="18"/>
      <c r="J541" s="18"/>
      <c r="K541" s="18"/>
      <c r="L541" s="88">
        <f>SUM(F541:K541)</f>
        <v>3236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13609</v>
      </c>
      <c r="I542" s="18"/>
      <c r="J542" s="18"/>
      <c r="K542" s="18"/>
      <c r="L542" s="88">
        <f>SUM(F542:K542)</f>
        <v>13609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610</v>
      </c>
      <c r="I543" s="18"/>
      <c r="J543" s="18"/>
      <c r="K543" s="18"/>
      <c r="L543" s="88">
        <f>SUM(F543:K543)</f>
        <v>610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17455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17455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73788</v>
      </c>
      <c r="G545" s="89">
        <f t="shared" ref="G545:L545" si="41">G524+G529+G534+G539+G544</f>
        <v>32989</v>
      </c>
      <c r="H545" s="89">
        <f t="shared" si="41"/>
        <v>127286</v>
      </c>
      <c r="I545" s="89">
        <f t="shared" si="41"/>
        <v>428</v>
      </c>
      <c r="J545" s="89">
        <f t="shared" si="41"/>
        <v>3002</v>
      </c>
      <c r="K545" s="89">
        <f t="shared" si="41"/>
        <v>125</v>
      </c>
      <c r="L545" s="89">
        <f t="shared" si="41"/>
        <v>237618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123632</v>
      </c>
      <c r="G549" s="87">
        <f>L526</f>
        <v>16759</v>
      </c>
      <c r="H549" s="87">
        <f>L531</f>
        <v>15310</v>
      </c>
      <c r="I549" s="87">
        <f>L536</f>
        <v>0</v>
      </c>
      <c r="J549" s="87">
        <f>L541</f>
        <v>3236</v>
      </c>
      <c r="K549" s="87">
        <f>SUM(F549:J549)</f>
        <v>158937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39559</v>
      </c>
      <c r="G550" s="87">
        <f>L527</f>
        <v>1800</v>
      </c>
      <c r="H550" s="87">
        <f>L532</f>
        <v>2955</v>
      </c>
      <c r="I550" s="87">
        <f>L537</f>
        <v>0</v>
      </c>
      <c r="J550" s="87">
        <f>L542</f>
        <v>13609</v>
      </c>
      <c r="K550" s="87">
        <f>SUM(F550:J550)</f>
        <v>57923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11553</v>
      </c>
      <c r="G551" s="87">
        <f>L528</f>
        <v>0</v>
      </c>
      <c r="H551" s="87">
        <f>L533</f>
        <v>8595</v>
      </c>
      <c r="I551" s="87">
        <f>L538</f>
        <v>0</v>
      </c>
      <c r="J551" s="87">
        <f>L543</f>
        <v>610</v>
      </c>
      <c r="K551" s="87">
        <f>SUM(F551:J551)</f>
        <v>20758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174744</v>
      </c>
      <c r="G552" s="89">
        <f t="shared" si="42"/>
        <v>18559</v>
      </c>
      <c r="H552" s="89">
        <f t="shared" si="42"/>
        <v>26860</v>
      </c>
      <c r="I552" s="89">
        <f t="shared" si="42"/>
        <v>0</v>
      </c>
      <c r="J552" s="89">
        <f t="shared" si="42"/>
        <v>17455</v>
      </c>
      <c r="K552" s="89">
        <f t="shared" si="42"/>
        <v>237618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>
        <v>332830</v>
      </c>
      <c r="H575" s="18">
        <v>400658</v>
      </c>
      <c r="I575" s="87">
        <f>SUM(F575:H575)</f>
        <v>733488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>
        <v>130520</v>
      </c>
      <c r="I576" s="87">
        <f t="shared" ref="I576:I587" si="47">SUM(F576:H576)</f>
        <v>130520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>
        <v>39559</v>
      </c>
      <c r="H582" s="18">
        <v>11553</v>
      </c>
      <c r="I582" s="87">
        <f t="shared" si="47"/>
        <v>51112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>
        <v>7890</v>
      </c>
      <c r="I585" s="87">
        <f t="shared" si="47"/>
        <v>7890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50307</v>
      </c>
      <c r="I591" s="18">
        <v>9708</v>
      </c>
      <c r="J591" s="18">
        <v>28243</v>
      </c>
      <c r="K591" s="104">
        <f t="shared" ref="K591:K597" si="48">SUM(H591:J591)</f>
        <v>88258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3236</v>
      </c>
      <c r="I592" s="18">
        <v>13609</v>
      </c>
      <c r="J592" s="18">
        <v>610</v>
      </c>
      <c r="K592" s="104">
        <f t="shared" si="48"/>
        <v>17455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484</v>
      </c>
      <c r="K593" s="104">
        <f t="shared" si="48"/>
        <v>484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3382</v>
      </c>
      <c r="I595" s="18"/>
      <c r="J595" s="18"/>
      <c r="K595" s="104">
        <f t="shared" si="48"/>
        <v>3382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56925</v>
      </c>
      <c r="I598" s="108">
        <f>SUM(I591:I597)</f>
        <v>23317</v>
      </c>
      <c r="J598" s="108">
        <f>SUM(J591:J597)</f>
        <v>29337</v>
      </c>
      <c r="K598" s="108">
        <f>SUM(K591:K597)</f>
        <v>109579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f>14355+200</f>
        <v>14555</v>
      </c>
      <c r="I604" s="18"/>
      <c r="J604" s="18"/>
      <c r="K604" s="104">
        <f>SUM(H604:J604)</f>
        <v>14555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14555</v>
      </c>
      <c r="I605" s="108">
        <f>SUM(I602:I604)</f>
        <v>0</v>
      </c>
      <c r="J605" s="108">
        <f>SUM(J602:J604)</f>
        <v>0</v>
      </c>
      <c r="K605" s="108">
        <f>SUM(K602:K604)</f>
        <v>14555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3050</v>
      </c>
      <c r="G611" s="18">
        <v>713</v>
      </c>
      <c r="H611" s="18">
        <v>716</v>
      </c>
      <c r="I611" s="18"/>
      <c r="J611" s="18"/>
      <c r="K611" s="18"/>
      <c r="L611" s="88">
        <f>SUM(F611:K611)</f>
        <v>4479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>
        <v>1297</v>
      </c>
      <c r="I612" s="18"/>
      <c r="J612" s="18"/>
      <c r="K612" s="18"/>
      <c r="L612" s="88">
        <f>SUM(F612:K612)</f>
        <v>1297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>
        <v>1534</v>
      </c>
      <c r="I613" s="18"/>
      <c r="J613" s="18"/>
      <c r="K613" s="18"/>
      <c r="L613" s="88">
        <f>SUM(F613:K613)</f>
        <v>1534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3050</v>
      </c>
      <c r="G614" s="108">
        <f t="shared" si="49"/>
        <v>713</v>
      </c>
      <c r="H614" s="108">
        <f t="shared" si="49"/>
        <v>3547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7310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44148</v>
      </c>
      <c r="H617" s="109">
        <f>SUM(F52)</f>
        <v>44148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5763</v>
      </c>
      <c r="H618" s="109">
        <f>SUM(G52)</f>
        <v>5763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27920</v>
      </c>
      <c r="H619" s="109">
        <f>SUM(H52)</f>
        <v>27920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133941</v>
      </c>
      <c r="H621" s="109">
        <f>SUM(J52)</f>
        <v>133941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278</v>
      </c>
      <c r="H622" s="109">
        <f>F476</f>
        <v>278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1199</v>
      </c>
      <c r="H624" s="109">
        <f>H476</f>
        <v>1199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133941</v>
      </c>
      <c r="H626" s="109">
        <f>J476</f>
        <v>133941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2161635</v>
      </c>
      <c r="H627" s="104">
        <f>SUM(F468)</f>
        <v>2161635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49929</v>
      </c>
      <c r="H628" s="104">
        <f>SUM(G468)</f>
        <v>49929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55741</v>
      </c>
      <c r="H629" s="104">
        <f>SUM(H468)</f>
        <v>55741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20063</v>
      </c>
      <c r="H631" s="104">
        <f>SUM(J468)</f>
        <v>20063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2227737</v>
      </c>
      <c r="H632" s="104">
        <f>SUM(F472)</f>
        <v>2227737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55741</v>
      </c>
      <c r="H633" s="104">
        <f>SUM(H472)</f>
        <v>55741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49929</v>
      </c>
      <c r="H635" s="104">
        <f>SUM(G472)</f>
        <v>49929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20063</v>
      </c>
      <c r="H637" s="164">
        <f>SUM(J468)</f>
        <v>20063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133941</v>
      </c>
      <c r="H640" s="104">
        <f>SUM(G461)</f>
        <v>133941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133941</v>
      </c>
      <c r="H642" s="104">
        <f>SUM(I461)</f>
        <v>133941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63</v>
      </c>
      <c r="H644" s="104">
        <f>H408</f>
        <v>63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20000</v>
      </c>
      <c r="H645" s="104">
        <f>G408</f>
        <v>20000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20063</v>
      </c>
      <c r="H646" s="104">
        <f>L408</f>
        <v>20063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109579</v>
      </c>
      <c r="H647" s="104">
        <f>L208+L226+L244</f>
        <v>109579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14555</v>
      </c>
      <c r="H648" s="104">
        <f>(J257+J338)-(J255+J336)</f>
        <v>14555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56925</v>
      </c>
      <c r="H649" s="104">
        <f>H598</f>
        <v>56925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23317</v>
      </c>
      <c r="H650" s="104">
        <f>I598</f>
        <v>23317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29337</v>
      </c>
      <c r="H651" s="104">
        <f>J598</f>
        <v>29337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24655</v>
      </c>
      <c r="H652" s="104">
        <f>K263+K345</f>
        <v>24655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20000</v>
      </c>
      <c r="H655" s="104">
        <f>K266+K347</f>
        <v>20000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1249938</v>
      </c>
      <c r="G660" s="19">
        <f>(L229+L309+L359)</f>
        <v>413898</v>
      </c>
      <c r="H660" s="19">
        <f>(L247+L328+L360)</f>
        <v>624916</v>
      </c>
      <c r="I660" s="19">
        <f>SUM(F660:H660)</f>
        <v>2288752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10482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10482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56925</v>
      </c>
      <c r="G662" s="19">
        <f>(L226+L306)-(J226+J306)</f>
        <v>23317</v>
      </c>
      <c r="H662" s="19">
        <f>(L244+L325)-(J244+J325)</f>
        <v>29337</v>
      </c>
      <c r="I662" s="19">
        <f>SUM(F662:H662)</f>
        <v>109579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19034</v>
      </c>
      <c r="G663" s="199">
        <f>SUM(G575:G587)+SUM(I602:I604)+L612</f>
        <v>373686</v>
      </c>
      <c r="H663" s="199">
        <f>SUM(H575:H587)+SUM(J602:J604)+L613</f>
        <v>552155</v>
      </c>
      <c r="I663" s="19">
        <f>SUM(F663:H663)</f>
        <v>944875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1163497</v>
      </c>
      <c r="G664" s="19">
        <f>G660-SUM(G661:G663)</f>
        <v>16895</v>
      </c>
      <c r="H664" s="19">
        <f>H660-SUM(H661:H663)</f>
        <v>43424</v>
      </c>
      <c r="I664" s="19">
        <f>I660-SUM(I661:I663)</f>
        <v>1223816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77.59</v>
      </c>
      <c r="G665" s="248"/>
      <c r="H665" s="248"/>
      <c r="I665" s="19">
        <f>SUM(F665:H665)</f>
        <v>77.59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14995.45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15772.86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-16895</v>
      </c>
      <c r="H669" s="18">
        <v>-43424</v>
      </c>
      <c r="I669" s="19">
        <f>SUM(F669:H669)</f>
        <v>-60319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14995.45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14995.45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Bath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330463</v>
      </c>
      <c r="C9" s="229">
        <f>'DOE25'!G197+'DOE25'!G215+'DOE25'!G233+'DOE25'!G276+'DOE25'!G295+'DOE25'!G314</f>
        <v>119403</v>
      </c>
    </row>
    <row r="10" spans="1:3" x14ac:dyDescent="0.2">
      <c r="A10" t="s">
        <v>778</v>
      </c>
      <c r="B10" s="240">
        <f>319186+1</f>
        <v>319187</v>
      </c>
      <c r="C10" s="240">
        <f>119403-C12</f>
        <v>118540.39</v>
      </c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>
        <v>11276</v>
      </c>
      <c r="C12" s="240">
        <v>862.61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330463</v>
      </c>
      <c r="C13" s="231">
        <f>SUM(C10:C12)</f>
        <v>119403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73788</v>
      </c>
      <c r="C18" s="229">
        <f>'DOE25'!G198+'DOE25'!G216+'DOE25'!G234+'DOE25'!G277+'DOE25'!G296+'DOE25'!G315</f>
        <v>32989</v>
      </c>
    </row>
    <row r="19" spans="1:3" x14ac:dyDescent="0.2">
      <c r="A19" t="s">
        <v>778</v>
      </c>
      <c r="B19" s="240">
        <v>45690</v>
      </c>
      <c r="C19" s="240">
        <v>20444.22</v>
      </c>
    </row>
    <row r="20" spans="1:3" x14ac:dyDescent="0.2">
      <c r="A20" t="s">
        <v>779</v>
      </c>
      <c r="B20" s="240">
        <v>28023</v>
      </c>
      <c r="C20" s="240">
        <v>12539.04</v>
      </c>
    </row>
    <row r="21" spans="1:3" x14ac:dyDescent="0.2">
      <c r="A21" t="s">
        <v>780</v>
      </c>
      <c r="B21" s="240">
        <v>75</v>
      </c>
      <c r="C21" s="240">
        <v>5.74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73788</v>
      </c>
      <c r="C22" s="231">
        <f>SUM(C19:C21)</f>
        <v>32989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3050</v>
      </c>
      <c r="C36" s="235">
        <f>'DOE25'!G200+'DOE25'!G218+'DOE25'!G236+'DOE25'!G279+'DOE25'!G298+'DOE25'!G317</f>
        <v>713</v>
      </c>
    </row>
    <row r="37" spans="1:3" x14ac:dyDescent="0.2">
      <c r="A37" t="s">
        <v>778</v>
      </c>
      <c r="B37" s="240">
        <v>3050</v>
      </c>
      <c r="C37" s="240">
        <v>713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3050</v>
      </c>
      <c r="C40" s="231">
        <f>SUM(C37:C39)</f>
        <v>713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Bath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1557618</v>
      </c>
      <c r="D5" s="20">
        <f>SUM('DOE25'!L197:L200)+SUM('DOE25'!L215:L218)+SUM('DOE25'!L233:L236)-F5-G5</f>
        <v>1552696</v>
      </c>
      <c r="E5" s="243"/>
      <c r="F5" s="255">
        <f>SUM('DOE25'!J197:J200)+SUM('DOE25'!J215:J218)+SUM('DOE25'!J233:J236)</f>
        <v>3422</v>
      </c>
      <c r="G5" s="53">
        <f>SUM('DOE25'!K197:K200)+SUM('DOE25'!K215:K218)+SUM('DOE25'!K233:K236)</f>
        <v>1500</v>
      </c>
      <c r="H5" s="259"/>
    </row>
    <row r="6" spans="1:9" x14ac:dyDescent="0.2">
      <c r="A6" s="32">
        <v>2100</v>
      </c>
      <c r="B6" t="s">
        <v>800</v>
      </c>
      <c r="C6" s="245">
        <f t="shared" si="0"/>
        <v>52410</v>
      </c>
      <c r="D6" s="20">
        <f>'DOE25'!L202+'DOE25'!L220+'DOE25'!L238-F6-G6</f>
        <v>52410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14824</v>
      </c>
      <c r="D7" s="20">
        <f>'DOE25'!L203+'DOE25'!L221+'DOE25'!L239-F7-G7</f>
        <v>4659</v>
      </c>
      <c r="E7" s="243"/>
      <c r="F7" s="255">
        <f>'DOE25'!J203+'DOE25'!J221+'DOE25'!J239</f>
        <v>10165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100910</v>
      </c>
      <c r="D8" s="243"/>
      <c r="E8" s="20">
        <f>'DOE25'!L204+'DOE25'!L222+'DOE25'!L240-F8-G8-D9-D11</f>
        <v>99303</v>
      </c>
      <c r="F8" s="255">
        <f>'DOE25'!J204+'DOE25'!J222+'DOE25'!J240</f>
        <v>0</v>
      </c>
      <c r="G8" s="53">
        <f>'DOE25'!K204+'DOE25'!K222+'DOE25'!K240</f>
        <v>1607</v>
      </c>
      <c r="H8" s="259"/>
    </row>
    <row r="9" spans="1:9" x14ac:dyDescent="0.2">
      <c r="A9" s="32">
        <v>2310</v>
      </c>
      <c r="B9" t="s">
        <v>817</v>
      </c>
      <c r="C9" s="245">
        <f t="shared" si="0"/>
        <v>6977</v>
      </c>
      <c r="D9" s="244">
        <v>6977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9972</v>
      </c>
      <c r="D10" s="243"/>
      <c r="E10" s="244">
        <v>9972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26982</v>
      </c>
      <c r="D11" s="244">
        <v>26982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139465</v>
      </c>
      <c r="D12" s="20">
        <f>'DOE25'!L205+'DOE25'!L223+'DOE25'!L241-F12-G12</f>
        <v>138670</v>
      </c>
      <c r="E12" s="243"/>
      <c r="F12" s="255">
        <f>'DOE25'!J205+'DOE25'!J223+'DOE25'!J241</f>
        <v>39</v>
      </c>
      <c r="G12" s="53">
        <f>'DOE25'!K205+'DOE25'!K223+'DOE25'!K241</f>
        <v>756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2921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2921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168377</v>
      </c>
      <c r="D14" s="20">
        <f>'DOE25'!L207+'DOE25'!L225+'DOE25'!L243-F14-G14</f>
        <v>167872</v>
      </c>
      <c r="E14" s="243"/>
      <c r="F14" s="255">
        <f>'DOE25'!J207+'DOE25'!J225+'DOE25'!J243</f>
        <v>0</v>
      </c>
      <c r="G14" s="53">
        <f>'DOE25'!K207+'DOE25'!K225+'DOE25'!K243</f>
        <v>505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109579</v>
      </c>
      <c r="D15" s="20">
        <f>'DOE25'!L208+'DOE25'!L226+'DOE25'!L244-F15-G15</f>
        <v>109579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3019</v>
      </c>
      <c r="D16" s="243"/>
      <c r="E16" s="20">
        <f>'DOE25'!L209+'DOE25'!L227+'DOE25'!L245-F16-G16</f>
        <v>2290</v>
      </c>
      <c r="F16" s="255">
        <f>'DOE25'!J209+'DOE25'!J227+'DOE25'!J245</f>
        <v>729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49929</v>
      </c>
      <c r="D29" s="20">
        <f>'DOE25'!L358+'DOE25'!L359+'DOE25'!L360-'DOE25'!I367-F29-G29</f>
        <v>49929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55741</v>
      </c>
      <c r="D31" s="20">
        <f>'DOE25'!L290+'DOE25'!L309+'DOE25'!L328+'DOE25'!L333+'DOE25'!L334+'DOE25'!L335-F31-G31</f>
        <v>54747</v>
      </c>
      <c r="E31" s="243"/>
      <c r="F31" s="255">
        <f>'DOE25'!J290+'DOE25'!J309+'DOE25'!J328+'DOE25'!J333+'DOE25'!J334+'DOE25'!J335</f>
        <v>200</v>
      </c>
      <c r="G31" s="53">
        <f>'DOE25'!K290+'DOE25'!K309+'DOE25'!K328+'DOE25'!K333+'DOE25'!K334+'DOE25'!K335</f>
        <v>794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2164521</v>
      </c>
      <c r="E33" s="246">
        <f>SUM(E5:E31)</f>
        <v>111565</v>
      </c>
      <c r="F33" s="246">
        <f>SUM(F5:F31)</f>
        <v>14555</v>
      </c>
      <c r="G33" s="246">
        <f>SUM(G5:G31)</f>
        <v>8083</v>
      </c>
      <c r="H33" s="246">
        <f>SUM(H5:H31)</f>
        <v>0</v>
      </c>
    </row>
    <row r="35" spans="2:8" ht="12" thickBot="1" x14ac:dyDescent="0.25">
      <c r="B35" s="253" t="s">
        <v>846</v>
      </c>
      <c r="D35" s="254">
        <f>E33</f>
        <v>111565</v>
      </c>
      <c r="E35" s="249"/>
    </row>
    <row r="36" spans="2:8" ht="12" thickTop="1" x14ac:dyDescent="0.2">
      <c r="B36" t="s">
        <v>814</v>
      </c>
      <c r="D36" s="20">
        <f>D33</f>
        <v>2164521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51" activePane="bottomLeft" state="frozen"/>
      <selection activeCell="F46" sqref="F46"/>
      <selection pane="bottomLeft" activeCell="C51" sqref="C5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Bath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11780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31138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955</v>
      </c>
      <c r="D12" s="95">
        <f>'DOE25'!G13</f>
        <v>5763</v>
      </c>
      <c r="E12" s="95">
        <f>'DOE25'!H13</f>
        <v>27920</v>
      </c>
      <c r="F12" s="95">
        <f>'DOE25'!I13</f>
        <v>0</v>
      </c>
      <c r="G12" s="95">
        <f>'DOE25'!J13</f>
        <v>133941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275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44148</v>
      </c>
      <c r="D18" s="41">
        <f>SUM(D8:D17)</f>
        <v>5763</v>
      </c>
      <c r="E18" s="41">
        <f>SUM(E8:E17)</f>
        <v>27920</v>
      </c>
      <c r="F18" s="41">
        <f>SUM(F8:F17)</f>
        <v>0</v>
      </c>
      <c r="G18" s="41">
        <f>SUM(G8:G17)</f>
        <v>133941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5499</v>
      </c>
      <c r="E21" s="95">
        <f>'DOE25'!H22</f>
        <v>25639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42960</v>
      </c>
      <c r="D23" s="95">
        <f>'DOE25'!G24</f>
        <v>264</v>
      </c>
      <c r="E23" s="95">
        <f>'DOE25'!H24</f>
        <v>794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910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288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43870</v>
      </c>
      <c r="D31" s="41">
        <f>SUM(D21:D30)</f>
        <v>5763</v>
      </c>
      <c r="E31" s="41">
        <f>SUM(E21:E30)</f>
        <v>26721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275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1199</v>
      </c>
      <c r="F47" s="95">
        <f>'DOE25'!I48</f>
        <v>0</v>
      </c>
      <c r="G47" s="95">
        <f>'DOE25'!J48</f>
        <v>133941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3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278</v>
      </c>
      <c r="D50" s="41">
        <f>SUM(D34:D49)</f>
        <v>0</v>
      </c>
      <c r="E50" s="41">
        <f>SUM(E34:E49)</f>
        <v>1199</v>
      </c>
      <c r="F50" s="41">
        <f>SUM(F34:F49)</f>
        <v>0</v>
      </c>
      <c r="G50" s="41">
        <f>SUM(G34:G49)</f>
        <v>133941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44148</v>
      </c>
      <c r="D51" s="41">
        <f>D50+D31</f>
        <v>5763</v>
      </c>
      <c r="E51" s="41">
        <f>E50+E31</f>
        <v>27920</v>
      </c>
      <c r="F51" s="41">
        <f>F50+F31</f>
        <v>0</v>
      </c>
      <c r="G51" s="41">
        <f>G50+G31</f>
        <v>133941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1311092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94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63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10370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4803</v>
      </c>
      <c r="D61" s="95">
        <f>SUM('DOE25'!G98:G110)</f>
        <v>112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4897</v>
      </c>
      <c r="D62" s="130">
        <f>SUM(D57:D61)</f>
        <v>10482</v>
      </c>
      <c r="E62" s="130">
        <f>SUM(E57:E61)</f>
        <v>0</v>
      </c>
      <c r="F62" s="130">
        <f>SUM(F57:F61)</f>
        <v>0</v>
      </c>
      <c r="G62" s="130">
        <f>SUM(G57:G61)</f>
        <v>63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1315989</v>
      </c>
      <c r="D63" s="22">
        <f>D56+D62</f>
        <v>10482</v>
      </c>
      <c r="E63" s="22">
        <f>E56+E62</f>
        <v>0</v>
      </c>
      <c r="F63" s="22">
        <f>F56+F62</f>
        <v>0</v>
      </c>
      <c r="G63" s="22">
        <f>G56+G62</f>
        <v>63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591578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239883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831461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6803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548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6803</v>
      </c>
      <c r="D78" s="130">
        <f>SUM(D72:D77)</f>
        <v>548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838264</v>
      </c>
      <c r="D81" s="130">
        <f>SUM(D79:D80)+D78+D70</f>
        <v>548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7182</v>
      </c>
      <c r="D88" s="95">
        <f>SUM('DOE25'!G153:G161)</f>
        <v>14244</v>
      </c>
      <c r="E88" s="95">
        <f>SUM('DOE25'!H153:H161)</f>
        <v>55741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200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7382</v>
      </c>
      <c r="D91" s="131">
        <f>SUM(D85:D90)</f>
        <v>14244</v>
      </c>
      <c r="E91" s="131">
        <f>SUM(E85:E90)</f>
        <v>55741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24655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24655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764</v>
      </c>
      <c r="C104" s="86">
        <f>C63+C81+C91+C103</f>
        <v>2161635</v>
      </c>
      <c r="D104" s="86">
        <f>D63+D81+D91+D103</f>
        <v>49929</v>
      </c>
      <c r="E104" s="86">
        <f>E63+E81+E91+E103</f>
        <v>55741</v>
      </c>
      <c r="F104" s="86">
        <f>F63+F81+F91+F103</f>
        <v>0</v>
      </c>
      <c r="G104" s="86">
        <f>G63+G81+G103</f>
        <v>20063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1366685</v>
      </c>
      <c r="D109" s="24" t="s">
        <v>288</v>
      </c>
      <c r="E109" s="95">
        <f>('DOE25'!L276)+('DOE25'!L295)+('DOE25'!L314)</f>
        <v>26431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174744</v>
      </c>
      <c r="D110" s="24" t="s">
        <v>288</v>
      </c>
      <c r="E110" s="95">
        <f>('DOE25'!L277)+('DOE25'!L296)+('DOE25'!L315)</f>
        <v>0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7890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8299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1557618</v>
      </c>
      <c r="D115" s="86">
        <f>SUM(D109:D114)</f>
        <v>0</v>
      </c>
      <c r="E115" s="86">
        <f>SUM(E109:E114)</f>
        <v>26431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52410</v>
      </c>
      <c r="D118" s="24" t="s">
        <v>288</v>
      </c>
      <c r="E118" s="95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14824</v>
      </c>
      <c r="D119" s="24" t="s">
        <v>288</v>
      </c>
      <c r="E119" s="95">
        <f>+('DOE25'!L282)+('DOE25'!L301)+('DOE25'!L320)</f>
        <v>28516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134869</v>
      </c>
      <c r="D120" s="24" t="s">
        <v>288</v>
      </c>
      <c r="E120" s="95">
        <f>+('DOE25'!L283)+('DOE25'!L302)+('DOE25'!L321)</f>
        <v>794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139465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2921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168377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109579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3019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49929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625464</v>
      </c>
      <c r="D128" s="86">
        <f>SUM(D118:D127)</f>
        <v>49929</v>
      </c>
      <c r="E128" s="86">
        <f>SUM(E118:E127)</f>
        <v>29310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24655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20063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-63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44655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2227737</v>
      </c>
      <c r="D145" s="86">
        <f>(D115+D128+D144)</f>
        <v>49929</v>
      </c>
      <c r="E145" s="86">
        <f>(E115+E128+E144)</f>
        <v>55741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Bath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14995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14995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1393116</v>
      </c>
      <c r="D10" s="182">
        <f>ROUND((C10/$C$28)*100,1)</f>
        <v>61.1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174744</v>
      </c>
      <c r="D11" s="182">
        <f>ROUND((C11/$C$28)*100,1)</f>
        <v>7.7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7890</v>
      </c>
      <c r="D12" s="182">
        <f>ROUND((C12/$C$28)*100,1)</f>
        <v>0.3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8299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52410</v>
      </c>
      <c r="D15" s="182">
        <f t="shared" ref="D15:D27" si="0">ROUND((C15/$C$28)*100,1)</f>
        <v>2.2999999999999998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43340</v>
      </c>
      <c r="D16" s="182">
        <f t="shared" si="0"/>
        <v>1.9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138682</v>
      </c>
      <c r="D17" s="182">
        <f t="shared" si="0"/>
        <v>6.1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139465</v>
      </c>
      <c r="D18" s="182">
        <f t="shared" si="0"/>
        <v>6.1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2921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168377</v>
      </c>
      <c r="D20" s="182">
        <f t="shared" si="0"/>
        <v>7.4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109579</v>
      </c>
      <c r="D21" s="182">
        <f t="shared" si="0"/>
        <v>4.8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39447</v>
      </c>
      <c r="D27" s="182">
        <f t="shared" si="0"/>
        <v>1.7</v>
      </c>
    </row>
    <row r="28" spans="1:4" x14ac:dyDescent="0.2">
      <c r="B28" s="187" t="s">
        <v>722</v>
      </c>
      <c r="C28" s="180">
        <f>SUM(C10:C27)</f>
        <v>2278270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2278270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1311092</v>
      </c>
      <c r="D35" s="182">
        <f t="shared" ref="D35:D40" si="1">ROUND((C35/$C$41)*100,1)</f>
        <v>58.7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4960</v>
      </c>
      <c r="D36" s="182">
        <f t="shared" si="1"/>
        <v>0.2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831461</v>
      </c>
      <c r="D37" s="182">
        <f t="shared" si="1"/>
        <v>37.200000000000003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7351</v>
      </c>
      <c r="D38" s="182">
        <f t="shared" si="1"/>
        <v>0.3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77367</v>
      </c>
      <c r="D39" s="182">
        <f t="shared" si="1"/>
        <v>3.5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2232231</v>
      </c>
      <c r="D41" s="184">
        <f>SUM(D35:D40)</f>
        <v>99.9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Bath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2017-08-16T15:46:03Z</cp:lastPrinted>
  <dcterms:created xsi:type="dcterms:W3CDTF">1997-12-04T19:04:30Z</dcterms:created>
  <dcterms:modified xsi:type="dcterms:W3CDTF">2017-11-29T17:11:07Z</dcterms:modified>
</cp:coreProperties>
</file>