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4000" windowHeight="975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1" i="12" l="1"/>
  <c r="F110" i="1"/>
  <c r="F358" i="1" l="1"/>
  <c r="H218" i="1"/>
  <c r="I591" i="1"/>
  <c r="I592" i="1"/>
  <c r="H592" i="1"/>
  <c r="H591" i="1"/>
  <c r="H236" i="1"/>
  <c r="I594" i="1"/>
  <c r="G541" i="1"/>
  <c r="K317" i="1" l="1"/>
  <c r="I320" i="1"/>
  <c r="I317" i="1"/>
  <c r="H325" i="1"/>
  <c r="H320" i="1"/>
  <c r="H319" i="1"/>
  <c r="H317" i="1"/>
  <c r="H315" i="1"/>
  <c r="G321" i="1"/>
  <c r="H296" i="1"/>
  <c r="H287" i="1"/>
  <c r="K298" i="1"/>
  <c r="I301" i="1"/>
  <c r="I298" i="1"/>
  <c r="H306" i="1"/>
  <c r="H301" i="1"/>
  <c r="H300" i="1"/>
  <c r="H298" i="1"/>
  <c r="G302" i="1"/>
  <c r="F302" i="1"/>
  <c r="F301" i="1"/>
  <c r="F300" i="1"/>
  <c r="F296" i="1"/>
  <c r="J317" i="1"/>
  <c r="I277" i="1"/>
  <c r="H282" i="1"/>
  <c r="H281" i="1"/>
  <c r="H277" i="1"/>
  <c r="G283" i="1"/>
  <c r="G276" i="1"/>
  <c r="F283" i="1"/>
  <c r="F281" i="1"/>
  <c r="F277" i="1"/>
  <c r="H279" i="1"/>
  <c r="I279" i="1"/>
  <c r="I282" i="1"/>
  <c r="K279" i="1"/>
  <c r="F282" i="1"/>
  <c r="H368" i="1"/>
  <c r="G368" i="1"/>
  <c r="F368" i="1"/>
  <c r="H367" i="1"/>
  <c r="F360" i="1"/>
  <c r="J360" i="1"/>
  <c r="I360" i="1"/>
  <c r="H360" i="1"/>
  <c r="J359" i="1"/>
  <c r="I359" i="1"/>
  <c r="H359" i="1"/>
  <c r="F359" i="1"/>
  <c r="J358" i="1"/>
  <c r="I358" i="1"/>
  <c r="H358" i="1"/>
  <c r="G358" i="1"/>
  <c r="G239" i="1" l="1"/>
  <c r="G221" i="1"/>
  <c r="G203" i="1"/>
  <c r="F50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F662" i="1" s="1"/>
  <c r="L226" i="1"/>
  <c r="L244" i="1"/>
  <c r="G651" i="1" s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C58" i="2" s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H169" i="1" s="1"/>
  <c r="I147" i="1"/>
  <c r="I169" i="1" s="1"/>
  <c r="I162" i="1"/>
  <c r="C12" i="10"/>
  <c r="L250" i="1"/>
  <c r="L332" i="1"/>
  <c r="L254" i="1"/>
  <c r="L268" i="1"/>
  <c r="L269" i="1"/>
  <c r="L349" i="1"/>
  <c r="L350" i="1"/>
  <c r="E143" i="2" s="1"/>
  <c r="I665" i="1"/>
  <c r="I670" i="1"/>
  <c r="I669" i="1"/>
  <c r="C42" i="10"/>
  <c r="L374" i="1"/>
  <c r="L375" i="1"/>
  <c r="C29" i="10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G552" i="1" s="1"/>
  <c r="L528" i="1"/>
  <c r="G551" i="1" s="1"/>
  <c r="L531" i="1"/>
  <c r="H549" i="1" s="1"/>
  <c r="L532" i="1"/>
  <c r="H550" i="1" s="1"/>
  <c r="L533" i="1"/>
  <c r="H551" i="1" s="1"/>
  <c r="K551" i="1" s="1"/>
  <c r="L536" i="1"/>
  <c r="I549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E56" i="2"/>
  <c r="F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E112" i="2"/>
  <c r="C113" i="2"/>
  <c r="E113" i="2"/>
  <c r="D115" i="2"/>
  <c r="F115" i="2"/>
  <c r="G115" i="2"/>
  <c r="E119" i="2"/>
  <c r="E120" i="2"/>
  <c r="E121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I52" i="1" s="1"/>
  <c r="H620" i="1" s="1"/>
  <c r="F177" i="1"/>
  <c r="F192" i="1" s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L256" i="1" s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I408" i="1" s="1"/>
  <c r="F408" i="1"/>
  <c r="G408" i="1"/>
  <c r="H645" i="1" s="1"/>
  <c r="J645" i="1" s="1"/>
  <c r="H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7" i="1" s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G446" i="1"/>
  <c r="H446" i="1"/>
  <c r="F452" i="1"/>
  <c r="G452" i="1"/>
  <c r="H452" i="1"/>
  <c r="F460" i="1"/>
  <c r="F461" i="1" s="1"/>
  <c r="H639" i="1" s="1"/>
  <c r="G460" i="1"/>
  <c r="H460" i="1"/>
  <c r="G461" i="1"/>
  <c r="H461" i="1"/>
  <c r="H641" i="1" s="1"/>
  <c r="F470" i="1"/>
  <c r="G470" i="1"/>
  <c r="H470" i="1"/>
  <c r="H476" i="1" s="1"/>
  <c r="H624" i="1" s="1"/>
  <c r="I470" i="1"/>
  <c r="J470" i="1"/>
  <c r="J476" i="1" s="1"/>
  <c r="H626" i="1" s="1"/>
  <c r="F474" i="1"/>
  <c r="F476" i="1" s="1"/>
  <c r="H622" i="1" s="1"/>
  <c r="G474" i="1"/>
  <c r="H474" i="1"/>
  <c r="I474" i="1"/>
  <c r="I476" i="1" s="1"/>
  <c r="H625" i="1" s="1"/>
  <c r="J625" i="1" s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40" i="1"/>
  <c r="J640" i="1" s="1"/>
  <c r="H640" i="1"/>
  <c r="G641" i="1"/>
  <c r="J641" i="1" s="1"/>
  <c r="G643" i="1"/>
  <c r="J643" i="1" s="1"/>
  <c r="H643" i="1"/>
  <c r="G644" i="1"/>
  <c r="H644" i="1"/>
  <c r="G645" i="1"/>
  <c r="G650" i="1"/>
  <c r="G652" i="1"/>
  <c r="H652" i="1"/>
  <c r="G653" i="1"/>
  <c r="H653" i="1"/>
  <c r="G654" i="1"/>
  <c r="H654" i="1"/>
  <c r="H655" i="1"/>
  <c r="J655" i="1" s="1"/>
  <c r="C26" i="10"/>
  <c r="L351" i="1"/>
  <c r="C70" i="2"/>
  <c r="D62" i="2"/>
  <c r="D18" i="13"/>
  <c r="C18" i="13" s="1"/>
  <c r="D17" i="13"/>
  <c r="C17" i="13" s="1"/>
  <c r="F78" i="2"/>
  <c r="F81" i="2" s="1"/>
  <c r="D50" i="2"/>
  <c r="F18" i="2"/>
  <c r="G156" i="2"/>
  <c r="E103" i="2"/>
  <c r="E62" i="2"/>
  <c r="E63" i="2" s="1"/>
  <c r="G62" i="2"/>
  <c r="D19" i="13"/>
  <c r="C19" i="13" s="1"/>
  <c r="E78" i="2"/>
  <c r="E81" i="2" s="1"/>
  <c r="J571" i="1"/>
  <c r="D81" i="2"/>
  <c r="J644" i="1"/>
  <c r="I552" i="1"/>
  <c r="G22" i="2"/>
  <c r="L401" i="1"/>
  <c r="C139" i="2" s="1"/>
  <c r="F22" i="13"/>
  <c r="H571" i="1"/>
  <c r="L309" i="1"/>
  <c r="E16" i="13"/>
  <c r="I571" i="1"/>
  <c r="G36" i="2"/>
  <c r="C22" i="13"/>
  <c r="A13" i="12" l="1"/>
  <c r="C78" i="2"/>
  <c r="C81" i="2" s="1"/>
  <c r="K598" i="1"/>
  <c r="G647" i="1" s="1"/>
  <c r="J651" i="1"/>
  <c r="F571" i="1"/>
  <c r="L565" i="1"/>
  <c r="K545" i="1"/>
  <c r="J545" i="1"/>
  <c r="H552" i="1"/>
  <c r="I545" i="1"/>
  <c r="L529" i="1"/>
  <c r="G545" i="1"/>
  <c r="H545" i="1"/>
  <c r="K549" i="1"/>
  <c r="G161" i="2"/>
  <c r="G157" i="2"/>
  <c r="G476" i="1"/>
  <c r="H623" i="1" s="1"/>
  <c r="J623" i="1" s="1"/>
  <c r="L393" i="1"/>
  <c r="C138" i="2" s="1"/>
  <c r="H662" i="1"/>
  <c r="H338" i="1"/>
  <c r="H352" i="1" s="1"/>
  <c r="E118" i="2"/>
  <c r="E128" i="2" s="1"/>
  <c r="J338" i="1"/>
  <c r="J352" i="1" s="1"/>
  <c r="L328" i="1"/>
  <c r="G338" i="1"/>
  <c r="G352" i="1" s="1"/>
  <c r="F338" i="1"/>
  <c r="F352" i="1" s="1"/>
  <c r="E109" i="2"/>
  <c r="E115" i="2"/>
  <c r="L290" i="1"/>
  <c r="H112" i="1"/>
  <c r="E31" i="2"/>
  <c r="H52" i="1"/>
  <c r="H619" i="1" s="1"/>
  <c r="J619" i="1" s="1"/>
  <c r="I369" i="1"/>
  <c r="H634" i="1" s="1"/>
  <c r="J634" i="1" s="1"/>
  <c r="L362" i="1"/>
  <c r="F661" i="1"/>
  <c r="D127" i="2"/>
  <c r="D128" i="2" s="1"/>
  <c r="D145" i="2" s="1"/>
  <c r="H661" i="1"/>
  <c r="G661" i="1"/>
  <c r="G192" i="1"/>
  <c r="D91" i="2"/>
  <c r="D31" i="2"/>
  <c r="D51" i="2" s="1"/>
  <c r="D18" i="2"/>
  <c r="E13" i="13"/>
  <c r="C13" i="13" s="1"/>
  <c r="F257" i="1"/>
  <c r="F271" i="1" s="1"/>
  <c r="C125" i="2"/>
  <c r="J257" i="1"/>
  <c r="J271" i="1" s="1"/>
  <c r="L229" i="1"/>
  <c r="G660" i="1" s="1"/>
  <c r="C18" i="10"/>
  <c r="C17" i="10"/>
  <c r="D7" i="13"/>
  <c r="C7" i="13" s="1"/>
  <c r="K257" i="1"/>
  <c r="K271" i="1" s="1"/>
  <c r="H257" i="1"/>
  <c r="H271" i="1" s="1"/>
  <c r="H647" i="1"/>
  <c r="D12" i="13"/>
  <c r="C12" i="13" s="1"/>
  <c r="C111" i="2"/>
  <c r="A31" i="12"/>
  <c r="A40" i="12"/>
  <c r="C121" i="2"/>
  <c r="E8" i="13"/>
  <c r="C8" i="13" s="1"/>
  <c r="C120" i="2"/>
  <c r="L247" i="1"/>
  <c r="C16" i="10"/>
  <c r="C13" i="10"/>
  <c r="C110" i="2"/>
  <c r="G257" i="1"/>
  <c r="G271" i="1" s="1"/>
  <c r="C21" i="10"/>
  <c r="G649" i="1"/>
  <c r="J649" i="1" s="1"/>
  <c r="C124" i="2"/>
  <c r="D14" i="13"/>
  <c r="C14" i="13" s="1"/>
  <c r="C122" i="2"/>
  <c r="C118" i="2"/>
  <c r="C25" i="10"/>
  <c r="H25" i="13"/>
  <c r="C25" i="13"/>
  <c r="H33" i="13"/>
  <c r="C131" i="2"/>
  <c r="C32" i="10"/>
  <c r="C11" i="10"/>
  <c r="I257" i="1"/>
  <c r="I271" i="1" s="1"/>
  <c r="D5" i="13"/>
  <c r="C5" i="13" s="1"/>
  <c r="C91" i="2"/>
  <c r="F112" i="1"/>
  <c r="C36" i="10" s="1"/>
  <c r="C35" i="10"/>
  <c r="C18" i="2"/>
  <c r="J639" i="1"/>
  <c r="J622" i="1"/>
  <c r="J617" i="1"/>
  <c r="C16" i="13"/>
  <c r="K550" i="1"/>
  <c r="D29" i="13"/>
  <c r="C29" i="13" s="1"/>
  <c r="G624" i="1"/>
  <c r="J624" i="1" s="1"/>
  <c r="L534" i="1"/>
  <c r="K500" i="1"/>
  <c r="I460" i="1"/>
  <c r="I452" i="1"/>
  <c r="I446" i="1"/>
  <c r="G642" i="1" s="1"/>
  <c r="C123" i="2"/>
  <c r="C119" i="2"/>
  <c r="C112" i="2"/>
  <c r="C115" i="2" s="1"/>
  <c r="F85" i="2"/>
  <c r="L211" i="1"/>
  <c r="C20" i="10"/>
  <c r="G81" i="2"/>
  <c r="C62" i="2"/>
  <c r="C63" i="2" s="1"/>
  <c r="D56" i="2"/>
  <c r="D63" i="2" s="1"/>
  <c r="G662" i="1"/>
  <c r="I662" i="1" s="1"/>
  <c r="C19" i="10"/>
  <c r="C15" i="10"/>
  <c r="G112" i="1"/>
  <c r="K503" i="1"/>
  <c r="L382" i="1"/>
  <c r="G636" i="1" s="1"/>
  <c r="J636" i="1" s="1"/>
  <c r="D6" i="13"/>
  <c r="C6" i="13" s="1"/>
  <c r="D15" i="13"/>
  <c r="C15" i="13" s="1"/>
  <c r="L544" i="1"/>
  <c r="L52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F33" i="13"/>
  <c r="G18" i="2"/>
  <c r="F545" i="1"/>
  <c r="H434" i="1"/>
  <c r="J620" i="1"/>
  <c r="D103" i="2"/>
  <c r="I140" i="1"/>
  <c r="I193" i="1" s="1"/>
  <c r="G630" i="1" s="1"/>
  <c r="J630" i="1" s="1"/>
  <c r="A22" i="12"/>
  <c r="H646" i="1"/>
  <c r="J652" i="1"/>
  <c r="G571" i="1"/>
  <c r="I434" i="1"/>
  <c r="G434" i="1"/>
  <c r="I663" i="1"/>
  <c r="C27" i="10"/>
  <c r="G635" i="1"/>
  <c r="J635" i="1" s="1"/>
  <c r="J647" i="1" l="1"/>
  <c r="L545" i="1"/>
  <c r="K552" i="1"/>
  <c r="D31" i="13"/>
  <c r="C31" i="13" s="1"/>
  <c r="H660" i="1"/>
  <c r="H664" i="1" s="1"/>
  <c r="L338" i="1"/>
  <c r="L352" i="1" s="1"/>
  <c r="G633" i="1" s="1"/>
  <c r="J633" i="1" s="1"/>
  <c r="E145" i="2"/>
  <c r="I661" i="1"/>
  <c r="H648" i="1"/>
  <c r="J648" i="1" s="1"/>
  <c r="E33" i="13"/>
  <c r="D35" i="13" s="1"/>
  <c r="L257" i="1"/>
  <c r="L271" i="1" s="1"/>
  <c r="G632" i="1" s="1"/>
  <c r="J632" i="1" s="1"/>
  <c r="G664" i="1"/>
  <c r="G672" i="1" s="1"/>
  <c r="C5" i="10" s="1"/>
  <c r="C128" i="2"/>
  <c r="C28" i="10"/>
  <c r="D23" i="10" s="1"/>
  <c r="C144" i="2"/>
  <c r="F660" i="1"/>
  <c r="C104" i="2"/>
  <c r="F193" i="1"/>
  <c r="G627" i="1" s="1"/>
  <c r="J627" i="1" s="1"/>
  <c r="I461" i="1"/>
  <c r="H642" i="1" s="1"/>
  <c r="J642" i="1" s="1"/>
  <c r="D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H667" i="1"/>
  <c r="G667" i="1"/>
  <c r="D27" i="10"/>
  <c r="D18" i="10"/>
  <c r="C30" i="10"/>
  <c r="D10" i="10"/>
  <c r="D26" i="10"/>
  <c r="D16" i="10"/>
  <c r="D20" i="10"/>
  <c r="D11" i="10"/>
  <c r="D13" i="10"/>
  <c r="D17" i="10"/>
  <c r="D21" i="10"/>
  <c r="D22" i="10"/>
  <c r="D15" i="10"/>
  <c r="D25" i="10"/>
  <c r="D19" i="10"/>
  <c r="C145" i="2"/>
  <c r="D12" i="10"/>
  <c r="D24" i="10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<sst xmlns="http://schemas.openxmlformats.org/spreadsheetml/2006/main" count="3963" uniqueCount="921">
  <si>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</si>
  <si>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</si>
  <si>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</si>
  <si>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</si>
  <si>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</si>
  <si>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</si>
  <si>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</si>
  <si>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</si>
  <si>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</si>
  <si>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</si>
  <si>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</si>
  <si>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</si>
  <si>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</si>
  <si>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</si>
  <si>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</si>
  <si>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</si>
  <si>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</si>
  <si>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</si>
  <si>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</si>
  <si>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</si>
  <si>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</si>
  <si>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</si>
  <si>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</si>
  <si>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</si>
  <si>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</si>
  <si>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</si>
  <si>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</si>
  <si>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</si>
  <si>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</si>
  <si>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</si>
  <si>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</si>
  <si>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</si>
  <si>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</si>
  <si>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</si>
  <si>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</si>
  <si>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</si>
  <si>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</si>
  <si>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</si>
  <si>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</si>
  <si>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</si>
  <si>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</si>
  <si>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</si>
  <si>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</si>
  <si>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</si>
  <si>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</si>
  <si>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</si>
  <si>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</si>
  <si>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</si>
  <si>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</si>
  <si>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</si>
  <si>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</si>
  <si>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</si>
  <si>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</si>
  <si>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</si>
  <si>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</si>
  <si>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</si>
  <si>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</si>
  <si>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</si>
  <si>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</si>
  <si>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</si>
  <si>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</si>
  <si>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</si>
  <si>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</si>
  <si>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</si>
  <si>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</si>
  <si>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</si>
  <si>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</si>
  <si>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</si>
  <si>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</si>
  <si>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</si>
  <si>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</si>
  <si>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</si>
  <si>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</si>
  <si>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</si>
  <si>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</si>
  <si>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</si>
  <si>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</si>
  <si>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</si>
  <si>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</si>
  <si>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</si>
  <si>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</si>
  <si>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</si>
  <si>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</si>
  <si>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</si>
  <si>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</si>
  <si>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</si>
  <si>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</si>
  <si>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</si>
  <si>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</si>
  <si>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</si>
  <si>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</si>
  <si>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</si>
  <si>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</si>
  <si>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</si>
  <si>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</si>
  <si>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</si>
  <si>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</si>
  <si>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</si>
  <si>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</si>
  <si>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</si>
  <si>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</si>
  <si>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</si>
  <si>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</si>
  <si>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</si>
  <si>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</si>
  <si>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</si>
  <si>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</si>
  <si>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</si>
  <si>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</si>
  <si>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</si>
  <si>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</si>
  <si>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</si>
  <si>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</si>
  <si>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</si>
  <si>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</si>
  <si>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</si>
  <si>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</si>
  <si>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</si>
  <si>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</si>
  <si>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</si>
  <si>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</si>
  <si>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</si>
  <si>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</si>
  <si>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</si>
  <si>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</si>
  <si>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</si>
  <si>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</si>
  <si>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</si>
  <si>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</si>
  <si>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</si>
  <si>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</si>
  <si>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</si>
  <si>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</si>
  <si>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</si>
  <si>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</si>
  <si>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</si>
  <si>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</si>
  <si>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</si>
  <si>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</si>
  <si>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</si>
  <si>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</si>
  <si>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</si>
  <si>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</si>
  <si>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</si>
  <si>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</si>
  <si>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</si>
  <si>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</si>
  <si>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</si>
  <si>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</si>
  <si>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</si>
  <si>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</si>
  <si>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</si>
  <si>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</si>
  <si>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</si>
  <si>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</si>
  <si>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</si>
  <si>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</si>
  <si>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</si>
  <si>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</si>
  <si>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</si>
  <si>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</si>
  <si>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</si>
  <si>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</si>
  <si>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</si>
  <si>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</si>
  <si>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</si>
  <si>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</si>
  <si>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</si>
  <si>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</si>
  <si>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</si>
  <si>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</si>
  <si>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</si>
  <si>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</si>
  <si>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</si>
  <si>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</si>
  <si>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</si>
  <si>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</si>
  <si>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</si>
  <si>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</si>
  <si>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</si>
  <si>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</si>
  <si>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</si>
  <si>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</si>
  <si>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</si>
  <si>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</si>
  <si>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</si>
  <si>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</si>
  <si>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</si>
  <si>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</si>
  <si>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</si>
  <si>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</si>
  <si>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</si>
  <si>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</si>
  <si>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</si>
  <si>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</si>
  <si>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</si>
  <si>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</si>
  <si>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</si>
  <si>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</si>
  <si>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</si>
  <si>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</si>
  <si>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</si>
  <si>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</si>
  <si>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</si>
  <si>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</si>
  <si>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</si>
  <si>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</si>
  <si>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</si>
  <si>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</si>
  <si>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</si>
  <si>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</si>
  <si>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</si>
  <si>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</si>
  <si>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</si>
  <si>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</si>
  <si>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</si>
  <si>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</si>
  <si>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</si>
  <si>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</si>
  <si>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</si>
  <si>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</si>
  <si>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</si>
  <si>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</si>
  <si>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</si>
  <si>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</si>
  <si>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</si>
  <si>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</si>
  <si>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</si>
  <si>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</si>
  <si>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</si>
  <si>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</si>
  <si>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</si>
  <si>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</si>
  <si>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</si>
  <si>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</si>
  <si>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</si>
  <si>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</si>
  <si>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</si>
  <si>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</si>
  <si>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</si>
  <si>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</si>
  <si>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</si>
  <si>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</si>
  <si>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</si>
  <si>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</si>
  <si>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</si>
  <si>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</si>
  <si>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</si>
  <si>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</si>
  <si>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</si>
  <si>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</si>
  <si>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</si>
  <si>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</si>
  <si>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</si>
  <si>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</si>
  <si>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</si>
  <si>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</si>
  <si>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</si>
  <si>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</si>
  <si>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</si>
  <si>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</si>
  <si>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</si>
  <si>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</si>
  <si>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</si>
  <si>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</si>
  <si>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</si>
  <si>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</si>
  <si>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</si>
  <si>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</si>
  <si>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</si>
  <si>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</si>
  <si>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</si>
  <si>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</si>
  <si>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</si>
  <si>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</si>
  <si>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</si>
  <si>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</si>
  <si>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</si>
  <si>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</si>
  <si>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</si>
  <si>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</si>
  <si>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</si>
  <si>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</si>
  <si>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</si>
  <si>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</si>
  <si>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</si>
  <si>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</si>
  <si>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</si>
  <si>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</si>
  <si>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</si>
  <si>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</si>
  <si>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</si>
  <si>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</si>
  <si>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</si>
  <si>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</si>
  <si>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</si>
  <si>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</si>
  <si>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</si>
  <si>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</si>
  <si>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</si>
  <si>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</si>
  <si>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</si>
  <si>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</si>
  <si>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</si>
  <si>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</si>
  <si>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</si>
  <si>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</si>
  <si>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</si>
  <si>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</si>
  <si>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</si>
  <si>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</si>
  <si>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</si>
  <si>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</si>
  <si>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</si>
  <si>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</si>
  <si>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</si>
  <si>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</si>
  <si>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</si>
  <si>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</si>
  <si>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</si>
  <si>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</si>
  <si>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</si>
  <si>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</si>
  <si>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</si>
  <si>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</si>
  <si>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</si>
  <si>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</si>
  <si>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</si>
  <si>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</si>
  <si>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</si>
  <si>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</si>
  <si>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</si>
  <si>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</si>
  <si>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</si>
  <si>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</si>
  <si>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</si>
  <si>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</si>
  <si>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</si>
  <si>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</si>
  <si>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</si>
  <si>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</si>
  <si>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</si>
  <si>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</si>
  <si>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</si>
  <si>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</si>
  <si>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</si>
  <si>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</si>
  <si>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</si>
  <si>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</si>
  <si>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</si>
  <si>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</si>
  <si>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</si>
  <si>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</si>
  <si>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</si>
  <si>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</si>
  <si>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</si>
  <si>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</si>
  <si>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</si>
  <si>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</si>
  <si>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</si>
  <si>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</si>
  <si>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</si>
  <si>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</si>
  <si>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</si>
  <si>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</si>
  <si>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</si>
  <si>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</si>
  <si>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</si>
  <si>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</si>
  <si>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</si>
  <si>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</si>
  <si>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</si>
  <si>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</si>
  <si>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</si>
  <si>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</si>
  <si>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</si>
  <si>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</si>
  <si>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</si>
  <si>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</si>
  <si>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</si>
  <si>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</si>
  <si>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</si>
  <si>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</si>
  <si>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</si>
  <si>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</si>
  <si>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</si>
  <si>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</si>
  <si>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</si>
  <si>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</si>
  <si>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</si>
  <si>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</si>
  <si>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</si>
  <si>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</si>
  <si>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</si>
  <si>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</si>
  <si>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</si>
  <si>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</si>
  <si>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</si>
  <si>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</si>
  <si>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</si>
  <si>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</si>
  <si>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</si>
  <si>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</si>
  <si>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</si>
  <si>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</si>
  <si>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</si>
  <si>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</si>
  <si>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</si>
  <si>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</si>
  <si>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</si>
  <si>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</si>
  <si>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</si>
  <si>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</si>
  <si>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</si>
  <si>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</si>
  <si>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</si>
  <si>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</si>
  <si>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</si>
  <si>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</si>
  <si>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</si>
  <si>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</si>
  <si>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</si>
  <si>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</si>
  <si>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</si>
  <si>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</si>
  <si>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</si>
  <si>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</si>
  <si>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</si>
  <si>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</si>
  <si>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</si>
  <si>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</si>
  <si>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</si>
  <si>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</si>
  <si>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</si>
  <si>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</si>
  <si>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</si>
  <si>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</si>
  <si>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</si>
  <si>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</si>
  <si>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</si>
  <si>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</si>
  <si>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</si>
  <si>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</si>
  <si>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</si>
  <si>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</si>
  <si>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</si>
  <si>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</si>
  <si>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</si>
  <si>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</si>
  <si>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</si>
  <si>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</si>
  <si>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</si>
  <si>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</si>
  <si>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</si>
  <si>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</si>
  <si>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</si>
  <si>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</si>
  <si>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</si>
  <si>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</si>
  <si>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</si>
  <si>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</si>
  <si>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</si>
  <si>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</si>
  <si>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</si>
  <si>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</si>
  <si>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</si>
  <si>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</si>
  <si>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</si>
  <si>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</si>
  <si>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</si>
  <si>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</si>
  <si>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</si>
  <si>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</si>
  <si>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</si>
  <si>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</si>
  <si>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</si>
  <si>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</si>
  <si>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</si>
  <si>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</si>
  <si>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</si>
  <si>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</si>
  <si>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</si>
  <si>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</si>
  <si>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</si>
  <si>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</si>
  <si>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</si>
  <si>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</si>
  <si>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</si>
  <si>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</si>
  <si>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</si>
  <si>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</si>
  <si>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</si>
  <si>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</si>
  <si>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</si>
  <si>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</si>
  <si>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</si>
  <si>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</si>
  <si>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</si>
  <si>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</si>
  <si>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</si>
  <si>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</si>
  <si>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</si>
  <si>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</si>
  <si>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</si>
  <si>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</si>
  <si>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</si>
  <si>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</si>
  <si>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</si>
  <si>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</si>
  <si>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</si>
  <si>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</si>
  <si>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</si>
  <si>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</si>
  <si>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</si>
  <si>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</si>
  <si>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</si>
  <si>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</si>
  <si>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</si>
  <si>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</si>
  <si>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</si>
  <si>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</si>
  <si>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</si>
  <si>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</si>
  <si>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</si>
  <si>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</si>
  <si>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</si>
  <si>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</si>
  <si>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</si>
  <si>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</si>
  <si>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</si>
  <si>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</si>
  <si>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</si>
  <si>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</si>
  <si>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</si>
  <si>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</si>
  <si>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</si>
  <si>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</si>
  <si>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</si>
  <si>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</si>
  <si>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</si>
  <si>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</si>
  <si>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</si>
  <si>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</si>
  <si>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</si>
  <si>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</si>
  <si>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</si>
  <si>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</si>
  <si>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</si>
  <si>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</si>
  <si>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</si>
  <si>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</si>
  <si>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</si>
  <si>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</si>
  <si>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</si>
  <si>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</si>
  <si>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</si>
  <si>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</si>
  <si>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</si>
  <si>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</si>
  <si>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</si>
  <si>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</si>
  <si>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</si>
  <si>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</si>
  <si>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</si>
  <si>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</si>
  <si>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</si>
  <si>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</si>
  <si>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</si>
  <si>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</si>
  <si>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</si>
  <si>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</si>
  <si>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</si>
  <si>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</si>
  <si>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</si>
  <si>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</si>
  <si>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</si>
  <si>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</si>
  <si>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</si>
  <si>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</si>
  <si>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</si>
  <si>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</si>
  <si>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</si>
  <si>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</si>
  <si>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</si>
  <si>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</si>
  <si>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</si>
  <si>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</si>
  <si>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</si>
  <si>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</si>
  <si>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</si>
  <si>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</si>
  <si>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</si>
  <si>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</si>
  <si>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</si>
  <si>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</si>
  <si>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</si>
  <si>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</si>
  <si>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</si>
  <si>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</si>
  <si>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</si>
  <si>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</si>
  <si>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</si>
  <si>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</si>
  <si>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</si>
  <si>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</si>
  <si>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</si>
  <si>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</si>
  <si>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</si>
  <si>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</si>
  <si>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</si>
  <si>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</si>
  <si>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</si>
  <si>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</si>
  <si>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</si>
  <si>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</si>
  <si>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</si>
  <si>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</si>
  <si>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</si>
  <si>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</si>
  <si>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</si>
  <si>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</si>
  <si>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</si>
  <si>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</si>
  <si>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</si>
  <si>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</si>
  <si>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</si>
  <si>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</si>
  <si>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</si>
  <si>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</si>
  <si>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</si>
  <si>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</si>
  <si>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</si>
  <si>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</si>
  <si>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</si>
  <si>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</si>
  <si>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</si>
  <si>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</si>
  <si>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</si>
  <si>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</si>
  <si>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</si>
  <si>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</si>
  <si>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</si>
  <si>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</si>
  <si>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</si>
  <si>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</si>
  <si>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</si>
  <si>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</si>
  <si>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</si>
  <si>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</si>
  <si>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</si>
  <si>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</si>
  <si>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</si>
  <si>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</si>
  <si>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</si>
  <si>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</si>
  <si>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</si>
  <si>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</si>
  <si>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</si>
  <si>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</si>
  <si>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</si>
  <si>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</si>
  <si>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</si>
  <si>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</si>
  <si>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</si>
  <si>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</si>
  <si>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</si>
  <si>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</si>
  <si>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</si>
  <si>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</si>
  <si>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</si>
  <si>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</si>
  <si>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</si>
  <si>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</si>
  <si>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</si>
  <si>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</si>
  <si>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</si>
  <si>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</si>
  <si>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</si>
  <si>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</si>
  <si>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</si>
  <si>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</si>
  <si>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</si>
  <si>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</si>
  <si>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</si>
  <si>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</si>
  <si>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</si>
  <si>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</si>
  <si>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</si>
  <si>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</si>
  <si>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</si>
  <si>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</si>
  <si>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</si>
  <si>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</si>
  <si>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</si>
  <si>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</si>
  <si>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</si>
  <si>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</si>
  <si>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</si>
  <si>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</si>
  <si>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</si>
  <si>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</si>
  <si>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</si>
  <si>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</si>
  <si>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</si>
  <si>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</si>
  <si>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</si>
  <si>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</si>
  <si>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</si>
  <si>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</si>
  <si>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</si>
  <si>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</si>
  <si>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</si>
  <si>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</si>
  <si>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</si>
  <si>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</si>
  <si>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</si>
  <si>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</si>
  <si>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</si>
  <si>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</si>
  <si>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</si>
  <si>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</si>
  <si>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</si>
  <si>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</si>
  <si>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</si>
  <si>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</si>
  <si>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</si>
  <si>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</si>
  <si>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</si>
  <si>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</si>
  <si>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</si>
  <si>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</si>
  <si>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</si>
  <si>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</si>
  <si>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</si>
  <si>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</si>
  <si>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</si>
  <si>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</si>
  <si>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</si>
  <si>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</si>
  <si>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</si>
  <si>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</si>
  <si>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</si>
  <si>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</si>
  <si>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</si>
  <si>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</si>
  <si>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</si>
  <si>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</si>
  <si>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</si>
  <si>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</si>
  <si>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</si>
  <si>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</si>
  <si>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</si>
  <si>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</si>
  <si>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</si>
  <si>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</si>
  <si>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</si>
  <si>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</si>
  <si>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</si>
  <si>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</si>
  <si>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</si>
  <si>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</si>
  <si>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</si>
  <si>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</si>
  <si>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</si>
  <si>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</si>
  <si>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</si>
  <si>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</si>
  <si>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</si>
  <si>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</si>
  <si>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</si>
  <si>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</si>
  <si>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</si>
  <si>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</si>
  <si>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</si>
  <si>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</si>
  <si>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</si>
  <si>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</si>
  <si>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</si>
  <si>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</si>
  <si>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</si>
  <si>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</si>
  <si>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</si>
  <si>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</si>
  <si>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</si>
  <si>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</si>
  <si>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</si>
  <si>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</si>
  <si>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</si>
  <si>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</si>
  <si>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</si>
  <si>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</si>
  <si>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</si>
  <si>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</si>
  <si>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</si>
  <si>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</si>
  <si>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</si>
  <si>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</si>
  <si>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</si>
  <si>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</si>
  <si>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</si>
  <si>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</si>
  <si>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</si>
  <si>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</si>
  <si>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</si>
  <si>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</si>
  <si>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</si>
  <si>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</si>
  <si>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</si>
  <si>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</si>
  <si>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</si>
  <si>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</si>
  <si>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</si>
  <si>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</si>
  <si>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</si>
  <si>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</si>
  <si>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</si>
  <si>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</si>
  <si>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</si>
  <si>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</si>
  <si>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</si>
  <si>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</si>
  <si>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</si>
  <si>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</si>
  <si>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</si>
  <si>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</si>
  <si>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</si>
  <si>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</si>
  <si>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</si>
  <si>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</si>
  <si>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</si>
  <si>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</si>
  <si>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</si>
  <si>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</si>
  <si>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</si>
  <si>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</si>
  <si>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</si>
  <si>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</si>
  <si>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</si>
  <si>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</si>
  <si>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</si>
  <si>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</si>
  <si>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</si>
  <si>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</si>
  <si>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</si>
  <si>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</si>
  <si>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</si>
  <si>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</si>
  <si>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</si>
  <si>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</si>
  <si>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</si>
  <si>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</si>
  <si>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</si>
  <si>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</si>
  <si>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</si>
  <si>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</si>
  <si>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</si>
  <si>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</si>
  <si>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</si>
  <si>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</si>
  <si>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</si>
  <si>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</si>
  <si>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</si>
  <si>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</si>
  <si>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</si>
  <si>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</si>
  <si>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</si>
  <si>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</si>
  <si>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</si>
  <si>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</si>
  <si>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</si>
  <si>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</si>
  <si>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</si>
  <si>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</si>
  <si>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</si>
  <si>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</si>
  <si>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</si>
  <si>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</si>
  <si>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</si>
  <si>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</si>
  <si>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</si>
  <si>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</si>
  <si>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</si>
  <si>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</si>
  <si>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</si>
  <si>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</si>
  <si>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</si>
  <si>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</si>
  <si>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</si>
  <si>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</si>
  <si>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</si>
  <si>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</si>
  <si>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</si>
  <si>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</si>
  <si>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</si>
  <si>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</si>
  <si>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</si>
  <si>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</si>
  <si>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</si>
  <si>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</si>
  <si>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</si>
  <si>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</si>
  <si>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</si>
  <si>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</si>
  <si>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</si>
  <si>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</si>
  <si>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</si>
  <si>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</si>
  <si>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</si>
  <si>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</si>
  <si>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</si>
  <si>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</si>
  <si>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</si>
  <si>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8/08</t>
  </si>
  <si>
    <t>6/06</t>
  </si>
  <si>
    <t>8/07</t>
  </si>
  <si>
    <t>11/14</t>
  </si>
  <si>
    <t>8/18</t>
  </si>
  <si>
    <t>7/26</t>
  </si>
  <si>
    <t>8/17</t>
  </si>
  <si>
    <t>7/29</t>
  </si>
  <si>
    <t>Bedford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</si>
</sst>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920</v>
      </c>
      <c r="B2" s="21">
        <v>41</v>
      </c>
      <c r="C2" s="21">
        <v>41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10077287.800000001</v>
      </c>
      <c r="G9" s="18">
        <v>497</v>
      </c>
      <c r="H9" s="18"/>
      <c r="I9" s="18"/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529480.73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147648.56</v>
      </c>
      <c r="G13" s="18">
        <v>13662.22</v>
      </c>
      <c r="H13" s="18">
        <v>297319.96999999997</v>
      </c>
      <c r="I13" s="18"/>
      <c r="J13" s="67">
        <f>SUM(I442)</f>
        <v>491153.01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191940.36</v>
      </c>
      <c r="G14" s="18">
        <v>1589.38</v>
      </c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68507.08</v>
      </c>
      <c r="G17" s="18">
        <v>6785</v>
      </c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10485383.800000001</v>
      </c>
      <c r="G19" s="41">
        <f>SUM(G9:G18)</f>
        <v>552014.32999999996</v>
      </c>
      <c r="H19" s="41">
        <f>SUM(H9:H18)</f>
        <v>297319.96999999997</v>
      </c>
      <c r="I19" s="41">
        <f>SUM(I9:I18)</f>
        <v>0</v>
      </c>
      <c r="J19" s="41">
        <f>SUM(J9:J18)</f>
        <v>491153.01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306026.76</v>
      </c>
      <c r="G22" s="18"/>
      <c r="H22" s="18">
        <v>223453.97</v>
      </c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388606.89</v>
      </c>
      <c r="G24" s="18">
        <v>2497.06</v>
      </c>
      <c r="H24" s="18"/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2257688.2599999998</v>
      </c>
      <c r="G28" s="18">
        <v>1149.54</v>
      </c>
      <c r="H28" s="18">
        <v>56983.8</v>
      </c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/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142083.5</v>
      </c>
      <c r="G30" s="18">
        <v>81263.37</v>
      </c>
      <c r="H30" s="18">
        <v>16882.2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3094405.4099999997</v>
      </c>
      <c r="G32" s="41">
        <f>SUM(G22:G31)</f>
        <v>84909.97</v>
      </c>
      <c r="H32" s="41">
        <f>SUM(H22:H31)</f>
        <v>297319.97000000003</v>
      </c>
      <c r="I32" s="41">
        <f>SUM(I22:I31)</f>
        <v>0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68507</v>
      </c>
      <c r="G36" s="18">
        <v>6785</v>
      </c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/>
      <c r="J48" s="13">
        <f>SUM(I459)</f>
        <v>491153.01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152222</v>
      </c>
      <c r="G49" s="18">
        <v>460319.36</v>
      </c>
      <c r="H49" s="18">
        <v>0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7390978.39-F49-F36</f>
        <v>7170249.3899999997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7390978.3899999997</v>
      </c>
      <c r="G51" s="41">
        <f>SUM(G35:G50)</f>
        <v>467104.36</v>
      </c>
      <c r="H51" s="41">
        <f>SUM(H35:H50)</f>
        <v>0</v>
      </c>
      <c r="I51" s="41">
        <f>SUM(I35:I50)</f>
        <v>0</v>
      </c>
      <c r="J51" s="41">
        <f>SUM(J35:J50)</f>
        <v>491153.01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10485383.799999999</v>
      </c>
      <c r="G52" s="41">
        <f>G51+G32</f>
        <v>552014.32999999996</v>
      </c>
      <c r="H52" s="41">
        <f>H51+H32</f>
        <v>297319.97000000003</v>
      </c>
      <c r="I52" s="41">
        <f>I51+I32</f>
        <v>0</v>
      </c>
      <c r="J52" s="41">
        <f>J51+J32</f>
        <v>491153.01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43623214.990000002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43623214.990000002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587787.27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55989.26</v>
      </c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5515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141485.84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790777.37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7849.08</v>
      </c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7849.08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15067.79</v>
      </c>
      <c r="G96" s="18"/>
      <c r="H96" s="18"/>
      <c r="I96" s="18"/>
      <c r="J96" s="18">
        <v>7573.44</v>
      </c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1592931.28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v>126024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/>
      <c r="H102" s="18">
        <v>27157.37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2297.5</v>
      </c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421547.88-1817</f>
        <v>419730.88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563120.17000000004</v>
      </c>
      <c r="G111" s="41">
        <f>SUM(G96:G110)</f>
        <v>1592931.28</v>
      </c>
      <c r="H111" s="41">
        <f>SUM(H96:H110)</f>
        <v>27157.37</v>
      </c>
      <c r="I111" s="41">
        <f>SUM(I96:I110)</f>
        <v>0</v>
      </c>
      <c r="J111" s="41">
        <f>SUM(J96:J110)</f>
        <v>7573.44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44984961.609999999</v>
      </c>
      <c r="G112" s="41">
        <f>G60+G111</f>
        <v>1592931.28</v>
      </c>
      <c r="H112" s="41">
        <f>H60+H79+H94+H111</f>
        <v>27157.37</v>
      </c>
      <c r="I112" s="41">
        <f>I60+I111</f>
        <v>0</v>
      </c>
      <c r="J112" s="41">
        <f>J60+J111</f>
        <v>7573.44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8669462.4900000002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8285871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4302050.5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21257383.990000002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885227.5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444922.8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7098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>
        <v>5708.36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21582.76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1337248.3</v>
      </c>
      <c r="G136" s="41">
        <f>SUM(G123:G135)</f>
        <v>21582.76</v>
      </c>
      <c r="H136" s="41">
        <f>SUM(H123:H135)</f>
        <v>5708.36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22594632.290000003</v>
      </c>
      <c r="G140" s="41">
        <f>G121+SUM(G136:G137)</f>
        <v>21582.76</v>
      </c>
      <c r="H140" s="41">
        <f>H121+SUM(H136:H139)</f>
        <v>5708.36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179895.13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v>66095.539999999994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325.54000000000002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223212.66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863483.05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390682.3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6</v>
      </c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390688.3</v>
      </c>
      <c r="G162" s="41">
        <f>SUM(G150:G161)</f>
        <v>223212.66</v>
      </c>
      <c r="H162" s="41">
        <f>SUM(H150:H161)</f>
        <v>1109799.26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390688.3</v>
      </c>
      <c r="G169" s="41">
        <f>G147+G162+SUM(G163:G168)</f>
        <v>223212.66</v>
      </c>
      <c r="H169" s="41">
        <f>H147+H162+SUM(H163:H168)</f>
        <v>1109799.26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374.17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1493.36</v>
      </c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1493.36</v>
      </c>
      <c r="G183" s="41">
        <f>SUM(G179:G182)</f>
        <v>374.17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1493.36</v>
      </c>
      <c r="G192" s="41">
        <f>G183+SUM(G188:G191)</f>
        <v>374.17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67971775.560000002</v>
      </c>
      <c r="G193" s="47">
        <f>G112+G140+G169+G192</f>
        <v>1838100.8699999999</v>
      </c>
      <c r="H193" s="47">
        <f>H112+H140+H169+H192</f>
        <v>1142664.99</v>
      </c>
      <c r="I193" s="47">
        <f>I112+I140+I169+I192</f>
        <v>0</v>
      </c>
      <c r="J193" s="47">
        <f>J112+J140+J192</f>
        <v>7573.44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8459960.1600000001</v>
      </c>
      <c r="G197" s="18">
        <v>4572495.21</v>
      </c>
      <c r="H197" s="18">
        <v>62635.6</v>
      </c>
      <c r="I197" s="18">
        <v>387433.73</v>
      </c>
      <c r="J197" s="18">
        <v>26960.400000000001</v>
      </c>
      <c r="K197" s="18"/>
      <c r="L197" s="19">
        <f>SUM(F197:K197)</f>
        <v>13509485.100000001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3244475.96</v>
      </c>
      <c r="G198" s="18">
        <v>1753595.82</v>
      </c>
      <c r="H198" s="18">
        <v>413294.76</v>
      </c>
      <c r="I198" s="18">
        <v>31346.29</v>
      </c>
      <c r="J198" s="18"/>
      <c r="K198" s="18"/>
      <c r="L198" s="19">
        <f>SUM(F198:K198)</f>
        <v>5442712.8300000001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54236.32</v>
      </c>
      <c r="G200" s="18">
        <v>29314</v>
      </c>
      <c r="H200" s="18"/>
      <c r="I200" s="18"/>
      <c r="J200" s="18"/>
      <c r="K200" s="18"/>
      <c r="L200" s="19">
        <f>SUM(F200:K200)</f>
        <v>83550.320000000007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993533.45</v>
      </c>
      <c r="G202" s="18">
        <v>536991.53</v>
      </c>
      <c r="H202" s="18">
        <v>683781.86</v>
      </c>
      <c r="I202" s="18">
        <v>20774.099999999999</v>
      </c>
      <c r="J202" s="18"/>
      <c r="K202" s="18"/>
      <c r="L202" s="19">
        <f t="shared" ref="L202:L208" si="0">SUM(F202:K202)</f>
        <v>2235080.94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285339.39</v>
      </c>
      <c r="G203" s="18">
        <f>154222.12+82755.51</f>
        <v>236977.63</v>
      </c>
      <c r="H203" s="18">
        <v>28707.69</v>
      </c>
      <c r="I203" s="18">
        <v>52823.63</v>
      </c>
      <c r="J203" s="18">
        <v>178960.97</v>
      </c>
      <c r="K203" s="18">
        <v>19649.259999999998</v>
      </c>
      <c r="L203" s="19">
        <f t="shared" si="0"/>
        <v>802458.57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382547.5</v>
      </c>
      <c r="G204" s="18">
        <v>206761.8</v>
      </c>
      <c r="H204" s="18">
        <v>55052.83</v>
      </c>
      <c r="I204" s="18">
        <v>10918.01</v>
      </c>
      <c r="J204" s="18">
        <v>6960.38</v>
      </c>
      <c r="K204" s="18">
        <v>9645.34</v>
      </c>
      <c r="L204" s="19">
        <f t="shared" si="0"/>
        <v>671885.86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1276465.6599999999</v>
      </c>
      <c r="G205" s="18">
        <v>689912.6</v>
      </c>
      <c r="H205" s="18">
        <v>11427.2</v>
      </c>
      <c r="I205" s="18">
        <v>17676.66</v>
      </c>
      <c r="J205" s="18">
        <v>1133.71</v>
      </c>
      <c r="K205" s="18">
        <v>10278.61</v>
      </c>
      <c r="L205" s="19">
        <f t="shared" si="0"/>
        <v>2006894.4399999997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116489.75</v>
      </c>
      <c r="G206" s="18">
        <v>62961.15</v>
      </c>
      <c r="H206" s="18">
        <v>125928.74</v>
      </c>
      <c r="I206" s="18"/>
      <c r="J206" s="18"/>
      <c r="K206" s="18">
        <v>2216.75</v>
      </c>
      <c r="L206" s="19">
        <f t="shared" si="0"/>
        <v>307596.39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797409.73</v>
      </c>
      <c r="G207" s="18">
        <v>430989.29</v>
      </c>
      <c r="H207" s="18">
        <v>1079205.06</v>
      </c>
      <c r="I207" s="18">
        <v>506257</v>
      </c>
      <c r="J207" s="18">
        <v>18981.63</v>
      </c>
      <c r="K207" s="18">
        <v>869.43</v>
      </c>
      <c r="L207" s="19">
        <f t="shared" si="0"/>
        <v>2833712.14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20656.02</v>
      </c>
      <c r="G208" s="18">
        <v>11164.3</v>
      </c>
      <c r="H208" s="18">
        <v>1258603.81</v>
      </c>
      <c r="I208" s="18"/>
      <c r="J208" s="18"/>
      <c r="K208" s="18"/>
      <c r="L208" s="19">
        <f t="shared" si="0"/>
        <v>1290424.1300000001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>
        <v>27799.19</v>
      </c>
      <c r="I209" s="18"/>
      <c r="J209" s="18"/>
      <c r="K209" s="18"/>
      <c r="L209" s="19">
        <f>SUM(F209:K209)</f>
        <v>27799.19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15631113.940000001</v>
      </c>
      <c r="G211" s="41">
        <f t="shared" si="1"/>
        <v>8531163.3300000001</v>
      </c>
      <c r="H211" s="41">
        <f t="shared" si="1"/>
        <v>3746436.74</v>
      </c>
      <c r="I211" s="41">
        <f t="shared" si="1"/>
        <v>1027229.4199999999</v>
      </c>
      <c r="J211" s="41">
        <f t="shared" si="1"/>
        <v>232997.09</v>
      </c>
      <c r="K211" s="41">
        <f t="shared" si="1"/>
        <v>42659.39</v>
      </c>
      <c r="L211" s="41">
        <f t="shared" si="1"/>
        <v>29211599.910000004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3210241.76</v>
      </c>
      <c r="G215" s="18">
        <v>1735092.7</v>
      </c>
      <c r="H215" s="18">
        <v>28678.92</v>
      </c>
      <c r="I215" s="18">
        <v>145402.07</v>
      </c>
      <c r="J215" s="18">
        <v>4025.6</v>
      </c>
      <c r="K215" s="18"/>
      <c r="L215" s="19">
        <f>SUM(F215:K215)</f>
        <v>5123441.05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1125877.68</v>
      </c>
      <c r="G216" s="18">
        <v>608521.81000000006</v>
      </c>
      <c r="H216" s="18">
        <v>285731.68</v>
      </c>
      <c r="I216" s="18">
        <v>6309.14</v>
      </c>
      <c r="J216" s="18"/>
      <c r="K216" s="18"/>
      <c r="L216" s="19">
        <f>SUM(F216:K216)</f>
        <v>2026440.3099999998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108022.12</v>
      </c>
      <c r="G218" s="18">
        <v>58384.51</v>
      </c>
      <c r="H218" s="18">
        <f>28193.27-14535.27-362</f>
        <v>13296</v>
      </c>
      <c r="I218" s="18">
        <v>12158.72</v>
      </c>
      <c r="J218" s="18"/>
      <c r="K218" s="18">
        <v>1348</v>
      </c>
      <c r="L218" s="19">
        <f>SUM(F218:K218)</f>
        <v>193209.35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318101.82</v>
      </c>
      <c r="G220" s="18">
        <v>171929.78</v>
      </c>
      <c r="H220" s="18">
        <v>125113.9</v>
      </c>
      <c r="I220" s="18">
        <v>3608.26</v>
      </c>
      <c r="J220" s="18"/>
      <c r="K220" s="18"/>
      <c r="L220" s="19">
        <f t="shared" ref="L220:L226" si="2">SUM(F220:K220)</f>
        <v>618753.76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97445.37</v>
      </c>
      <c r="G221" s="18">
        <f>52667.92+28261.58</f>
        <v>80929.5</v>
      </c>
      <c r="H221" s="18">
        <v>9628.32</v>
      </c>
      <c r="I221" s="18">
        <v>18444.04</v>
      </c>
      <c r="J221" s="18">
        <v>60425.09</v>
      </c>
      <c r="K221" s="18">
        <v>6710.36</v>
      </c>
      <c r="L221" s="19">
        <f t="shared" si="2"/>
        <v>273582.68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130642.61</v>
      </c>
      <c r="G222" s="18">
        <v>70610.58</v>
      </c>
      <c r="H222" s="18">
        <v>18800.919999999998</v>
      </c>
      <c r="I222" s="18">
        <v>3728.58</v>
      </c>
      <c r="J222" s="18">
        <v>2377.02</v>
      </c>
      <c r="K222" s="18">
        <v>3293.95</v>
      </c>
      <c r="L222" s="19">
        <f t="shared" si="2"/>
        <v>229453.65999999997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442264.88</v>
      </c>
      <c r="G223" s="18">
        <v>239038.25</v>
      </c>
      <c r="H223" s="18">
        <v>2819.58</v>
      </c>
      <c r="I223" s="18">
        <v>2638.81</v>
      </c>
      <c r="J223" s="18">
        <v>387.17</v>
      </c>
      <c r="K223" s="18">
        <v>3343.14</v>
      </c>
      <c r="L223" s="19">
        <f t="shared" si="2"/>
        <v>690491.83000000007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39782.050000000003</v>
      </c>
      <c r="G224" s="18">
        <v>21501.67</v>
      </c>
      <c r="H224" s="18">
        <v>43005.53</v>
      </c>
      <c r="I224" s="18"/>
      <c r="J224" s="18"/>
      <c r="K224" s="18">
        <v>757.03</v>
      </c>
      <c r="L224" s="19">
        <f t="shared" si="2"/>
        <v>105046.28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218801.95</v>
      </c>
      <c r="G225" s="18">
        <v>118259.53</v>
      </c>
      <c r="H225" s="18">
        <v>368555.99</v>
      </c>
      <c r="I225" s="18">
        <v>49136.25</v>
      </c>
      <c r="J225" s="18">
        <v>6482.36</v>
      </c>
      <c r="K225" s="18">
        <v>296.92</v>
      </c>
      <c r="L225" s="19">
        <f t="shared" si="2"/>
        <v>761533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7023.05</v>
      </c>
      <c r="G226" s="18">
        <v>3795.86</v>
      </c>
      <c r="H226" s="18">
        <v>447322.57</v>
      </c>
      <c r="I226" s="18"/>
      <c r="J226" s="18"/>
      <c r="K226" s="18"/>
      <c r="L226" s="19">
        <f t="shared" si="2"/>
        <v>458141.48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>
        <v>9493.6200000000008</v>
      </c>
      <c r="I227" s="18"/>
      <c r="J227" s="18"/>
      <c r="K227" s="18"/>
      <c r="L227" s="19">
        <f>SUM(F227:K227)</f>
        <v>9493.6200000000008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5698203.29</v>
      </c>
      <c r="G229" s="41">
        <f>SUM(G215:G228)</f>
        <v>3108064.189999999</v>
      </c>
      <c r="H229" s="41">
        <f>SUM(H215:H228)</f>
        <v>1352447.03</v>
      </c>
      <c r="I229" s="41">
        <f>SUM(I215:I228)</f>
        <v>241425.87000000002</v>
      </c>
      <c r="J229" s="41">
        <f>SUM(J215:J228)</f>
        <v>73697.239999999991</v>
      </c>
      <c r="K229" s="41">
        <f t="shared" si="3"/>
        <v>15749.4</v>
      </c>
      <c r="L229" s="41">
        <f t="shared" si="3"/>
        <v>10489587.019999998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5557477.1900000004</v>
      </c>
      <c r="G233" s="18">
        <v>3003742.02</v>
      </c>
      <c r="H233" s="18">
        <v>61190.19</v>
      </c>
      <c r="I233" s="18">
        <v>250183.43</v>
      </c>
      <c r="J233" s="18">
        <v>39081.519999999997</v>
      </c>
      <c r="K233" s="18">
        <v>34589.54</v>
      </c>
      <c r="L233" s="19">
        <f>SUM(F233:K233)</f>
        <v>8946263.8899999987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1468452.54</v>
      </c>
      <c r="G234" s="18">
        <v>793678.94</v>
      </c>
      <c r="H234" s="18">
        <v>673100.45</v>
      </c>
      <c r="I234" s="18">
        <v>9512.5</v>
      </c>
      <c r="J234" s="18"/>
      <c r="K234" s="18"/>
      <c r="L234" s="19">
        <f>SUM(F234:K234)</f>
        <v>2944744.4299999997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49089.38</v>
      </c>
      <c r="I235" s="18"/>
      <c r="J235" s="18"/>
      <c r="K235" s="18"/>
      <c r="L235" s="19">
        <f>SUM(F235:K235)</f>
        <v>49089.38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532159.30000000005</v>
      </c>
      <c r="G236" s="18">
        <v>287624.98</v>
      </c>
      <c r="H236" s="18">
        <f>224566.9-92363.72-11770.25-1161</f>
        <v>119271.93</v>
      </c>
      <c r="I236" s="18">
        <v>41847.699999999997</v>
      </c>
      <c r="J236" s="18">
        <v>6978.35</v>
      </c>
      <c r="K236" s="18">
        <v>41927.39</v>
      </c>
      <c r="L236" s="19">
        <f>SUM(F236:K236)</f>
        <v>1029809.6499999999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559065.75</v>
      </c>
      <c r="G238" s="18">
        <v>302167.55</v>
      </c>
      <c r="H238" s="18">
        <v>279001.40999999997</v>
      </c>
      <c r="I238" s="18">
        <v>14083.74</v>
      </c>
      <c r="J238" s="18"/>
      <c r="K238" s="18"/>
      <c r="L238" s="19">
        <f t="shared" ref="L238:L244" si="4">SUM(F238:K238)</f>
        <v>1154318.45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189802.21</v>
      </c>
      <c r="G239" s="18">
        <f>102585.56+55047.35</f>
        <v>157632.91</v>
      </c>
      <c r="H239" s="18">
        <v>17956.91</v>
      </c>
      <c r="I239" s="18">
        <v>38670.32</v>
      </c>
      <c r="J239" s="18">
        <v>119194.82</v>
      </c>
      <c r="K239" s="18">
        <v>13070.31</v>
      </c>
      <c r="L239" s="19">
        <f t="shared" si="4"/>
        <v>536327.48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254463.16</v>
      </c>
      <c r="G240" s="18">
        <v>137533.93</v>
      </c>
      <c r="H240" s="18">
        <v>36620.07</v>
      </c>
      <c r="I240" s="18">
        <v>7262.45</v>
      </c>
      <c r="J240" s="18">
        <v>4629.91</v>
      </c>
      <c r="K240" s="18">
        <v>6415.9</v>
      </c>
      <c r="L240" s="19">
        <f t="shared" si="4"/>
        <v>446925.42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1189599.01</v>
      </c>
      <c r="G241" s="18">
        <v>642962.34</v>
      </c>
      <c r="H241" s="18">
        <v>8705.9500000000007</v>
      </c>
      <c r="I241" s="18">
        <v>9096.2900000000009</v>
      </c>
      <c r="J241" s="18">
        <v>754.12</v>
      </c>
      <c r="K241" s="18">
        <v>51520.46</v>
      </c>
      <c r="L241" s="19">
        <f t="shared" si="4"/>
        <v>1902638.1700000002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77486.720000000001</v>
      </c>
      <c r="G242" s="18">
        <v>41880.53</v>
      </c>
      <c r="H242" s="18">
        <v>83765.350000000006</v>
      </c>
      <c r="I242" s="18"/>
      <c r="J242" s="18"/>
      <c r="K242" s="18">
        <v>1474.54</v>
      </c>
      <c r="L242" s="19">
        <f t="shared" si="4"/>
        <v>204607.14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388514.96</v>
      </c>
      <c r="G243" s="18">
        <v>209987.14</v>
      </c>
      <c r="H243" s="18">
        <v>717866.23</v>
      </c>
      <c r="I243" s="18">
        <v>479197.81</v>
      </c>
      <c r="J243" s="18">
        <v>12626.21</v>
      </c>
      <c r="K243" s="18">
        <v>578.33000000000004</v>
      </c>
      <c r="L243" s="19">
        <f t="shared" si="4"/>
        <v>1808770.6800000002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13632.97</v>
      </c>
      <c r="G244" s="18">
        <v>7368.44</v>
      </c>
      <c r="H244" s="18">
        <v>935973.48</v>
      </c>
      <c r="I244" s="18"/>
      <c r="J244" s="18"/>
      <c r="K244" s="18"/>
      <c r="L244" s="19">
        <f t="shared" si="4"/>
        <v>956974.89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>
        <v>18491.48</v>
      </c>
      <c r="I245" s="18"/>
      <c r="J245" s="18"/>
      <c r="K245" s="18"/>
      <c r="L245" s="19">
        <f>SUM(F245:K245)</f>
        <v>18491.48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10230653.810000002</v>
      </c>
      <c r="G247" s="41">
        <f t="shared" si="5"/>
        <v>5584578.7800000003</v>
      </c>
      <c r="H247" s="41">
        <f t="shared" si="5"/>
        <v>3001032.8299999996</v>
      </c>
      <c r="I247" s="41">
        <f t="shared" si="5"/>
        <v>849854.24</v>
      </c>
      <c r="J247" s="41">
        <f t="shared" si="5"/>
        <v>183264.93</v>
      </c>
      <c r="K247" s="41">
        <f t="shared" si="5"/>
        <v>149576.46999999997</v>
      </c>
      <c r="L247" s="41">
        <f t="shared" si="5"/>
        <v>19998961.060000002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2625</v>
      </c>
      <c r="G251" s="18"/>
      <c r="H251" s="18"/>
      <c r="I251" s="18">
        <v>581.24</v>
      </c>
      <c r="J251" s="18"/>
      <c r="K251" s="18"/>
      <c r="L251" s="19">
        <f t="shared" si="6"/>
        <v>3206.24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2625</v>
      </c>
      <c r="G256" s="41">
        <f t="shared" si="7"/>
        <v>0</v>
      </c>
      <c r="H256" s="41">
        <f t="shared" si="7"/>
        <v>0</v>
      </c>
      <c r="I256" s="41">
        <f t="shared" si="7"/>
        <v>581.24</v>
      </c>
      <c r="J256" s="41">
        <f t="shared" si="7"/>
        <v>0</v>
      </c>
      <c r="K256" s="41">
        <f t="shared" si="7"/>
        <v>0</v>
      </c>
      <c r="L256" s="41">
        <f>SUM(F256:K256)</f>
        <v>3206.24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31562596.040000003</v>
      </c>
      <c r="G257" s="41">
        <f t="shared" si="8"/>
        <v>17223806.300000001</v>
      </c>
      <c r="H257" s="41">
        <f t="shared" si="8"/>
        <v>8099916.5999999996</v>
      </c>
      <c r="I257" s="41">
        <f t="shared" si="8"/>
        <v>2119090.7700000005</v>
      </c>
      <c r="J257" s="41">
        <f t="shared" si="8"/>
        <v>489959.25999999995</v>
      </c>
      <c r="K257" s="41">
        <f t="shared" si="8"/>
        <v>207985.25999999998</v>
      </c>
      <c r="L257" s="41">
        <f t="shared" si="8"/>
        <v>59703354.230000004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2665000</v>
      </c>
      <c r="L260" s="19">
        <f>SUM(F260:K260)</f>
        <v>2665000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1332912.5</v>
      </c>
      <c r="L261" s="19">
        <f>SUM(F261:K261)</f>
        <v>1332912.5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374.17</v>
      </c>
      <c r="L263" s="19">
        <f>SUM(F263:K263)</f>
        <v>374.17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3998286.67</v>
      </c>
      <c r="L270" s="41">
        <f t="shared" si="9"/>
        <v>3998286.67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31562596.040000003</v>
      </c>
      <c r="G271" s="42">
        <f t="shared" si="11"/>
        <v>17223806.300000001</v>
      </c>
      <c r="H271" s="42">
        <f t="shared" si="11"/>
        <v>8099916.5999999996</v>
      </c>
      <c r="I271" s="42">
        <f t="shared" si="11"/>
        <v>2119090.7700000005</v>
      </c>
      <c r="J271" s="42">
        <f t="shared" si="11"/>
        <v>489959.25999999995</v>
      </c>
      <c r="K271" s="42">
        <f t="shared" si="11"/>
        <v>4206271.93</v>
      </c>
      <c r="L271" s="42">
        <f t="shared" si="11"/>
        <v>63701640.900000006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181412.86</v>
      </c>
      <c r="G276" s="18">
        <f>10818.21</f>
        <v>10818.21</v>
      </c>
      <c r="H276" s="18"/>
      <c r="I276" s="18"/>
      <c r="J276" s="18"/>
      <c r="K276" s="18"/>
      <c r="L276" s="19">
        <f>SUM(F276:K276)</f>
        <v>192231.06999999998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261330.7+13132.07</f>
        <v>274462.77</v>
      </c>
      <c r="G277" s="18"/>
      <c r="H277" s="18">
        <f>81236.84+15000</f>
        <v>96236.84</v>
      </c>
      <c r="I277" s="18">
        <f>1480.57</f>
        <v>1480.57</v>
      </c>
      <c r="J277" s="18"/>
      <c r="K277" s="18"/>
      <c r="L277" s="19">
        <f>SUM(F277:K277)</f>
        <v>372180.18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>
        <f>450</f>
        <v>450</v>
      </c>
      <c r="I279" s="18">
        <f>88.58</f>
        <v>88.58</v>
      </c>
      <c r="J279" s="18"/>
      <c r="K279" s="18">
        <f>5828.3</f>
        <v>5828.3</v>
      </c>
      <c r="L279" s="19">
        <f>SUM(F279:K279)</f>
        <v>6366.88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f>42962.1+61436.84</f>
        <v>104398.94</v>
      </c>
      <c r="G281" s="18"/>
      <c r="H281" s="18">
        <f>100+750</f>
        <v>850</v>
      </c>
      <c r="I281" s="18"/>
      <c r="J281" s="18"/>
      <c r="K281" s="18"/>
      <c r="L281" s="19">
        <f t="shared" ref="L281:L287" si="12">SUM(F281:K281)</f>
        <v>105248.94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13047.77</f>
        <v>13047.77</v>
      </c>
      <c r="G282" s="18"/>
      <c r="H282" s="18">
        <f>6250+1174.3</f>
        <v>7424.3</v>
      </c>
      <c r="I282" s="18">
        <f>2500</f>
        <v>2500</v>
      </c>
      <c r="J282" s="18"/>
      <c r="K282" s="18"/>
      <c r="L282" s="19">
        <f t="shared" si="12"/>
        <v>22972.07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f>1033.78+7108.43</f>
        <v>8142.21</v>
      </c>
      <c r="G283" s="18">
        <f>77.37+542.91</f>
        <v>620.28</v>
      </c>
      <c r="H283" s="18"/>
      <c r="I283" s="18"/>
      <c r="J283" s="18"/>
      <c r="K283" s="18"/>
      <c r="L283" s="19">
        <f t="shared" si="12"/>
        <v>8762.49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>
        <f>2645.2</f>
        <v>2645.2</v>
      </c>
      <c r="I287" s="18"/>
      <c r="J287" s="18"/>
      <c r="K287" s="18"/>
      <c r="L287" s="19">
        <f t="shared" si="12"/>
        <v>2645.2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581464.55000000005</v>
      </c>
      <c r="G290" s="42">
        <f t="shared" si="13"/>
        <v>11438.49</v>
      </c>
      <c r="H290" s="42">
        <f t="shared" si="13"/>
        <v>107606.34</v>
      </c>
      <c r="I290" s="42">
        <f t="shared" si="13"/>
        <v>4069.1499999999996</v>
      </c>
      <c r="J290" s="42">
        <f t="shared" si="13"/>
        <v>0</v>
      </c>
      <c r="K290" s="42">
        <f t="shared" si="13"/>
        <v>5828.3</v>
      </c>
      <c r="L290" s="41">
        <f t="shared" si="13"/>
        <v>710406.83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88852.44</f>
        <v>88852.44</v>
      </c>
      <c r="G296" s="18"/>
      <c r="H296" s="18">
        <f>27620.52</f>
        <v>27620.52</v>
      </c>
      <c r="I296" s="18"/>
      <c r="J296" s="18"/>
      <c r="K296" s="18"/>
      <c r="L296" s="19">
        <f>SUM(F296:K296)</f>
        <v>116472.96000000001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>
        <f>153</f>
        <v>153</v>
      </c>
      <c r="I298" s="18">
        <f>30.12</f>
        <v>30.12</v>
      </c>
      <c r="J298" s="18"/>
      <c r="K298" s="18">
        <f>1981.62</f>
        <v>1981.62</v>
      </c>
      <c r="L298" s="19">
        <f>SUM(F298:K298)</f>
        <v>2164.7399999999998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f>14607.11</f>
        <v>14607.11</v>
      </c>
      <c r="G300" s="18"/>
      <c r="H300" s="18">
        <f>34</f>
        <v>34</v>
      </c>
      <c r="I300" s="18"/>
      <c r="J300" s="18"/>
      <c r="K300" s="18"/>
      <c r="L300" s="19">
        <f t="shared" ref="L300:L306" si="14">SUM(F300:K300)</f>
        <v>14641.11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f>4436.24</f>
        <v>4436.24</v>
      </c>
      <c r="G301" s="18"/>
      <c r="H301" s="18">
        <f>2125</f>
        <v>2125</v>
      </c>
      <c r="I301" s="18">
        <f>850</f>
        <v>850</v>
      </c>
      <c r="J301" s="18"/>
      <c r="K301" s="18"/>
      <c r="L301" s="19">
        <f t="shared" si="14"/>
        <v>7411.24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f>351.49</f>
        <v>351.49</v>
      </c>
      <c r="G302" s="18">
        <f>26.31</f>
        <v>26.31</v>
      </c>
      <c r="H302" s="18"/>
      <c r="I302" s="18"/>
      <c r="J302" s="18"/>
      <c r="K302" s="18"/>
      <c r="L302" s="19">
        <f t="shared" si="14"/>
        <v>377.8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>
        <f>899.37</f>
        <v>899.37</v>
      </c>
      <c r="I306" s="18"/>
      <c r="J306" s="18"/>
      <c r="K306" s="18"/>
      <c r="L306" s="19">
        <f t="shared" si="14"/>
        <v>899.37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108247.28000000001</v>
      </c>
      <c r="G309" s="42">
        <f t="shared" si="15"/>
        <v>26.31</v>
      </c>
      <c r="H309" s="42">
        <f t="shared" si="15"/>
        <v>30831.89</v>
      </c>
      <c r="I309" s="42">
        <f t="shared" si="15"/>
        <v>880.12</v>
      </c>
      <c r="J309" s="42">
        <f t="shared" si="15"/>
        <v>0</v>
      </c>
      <c r="K309" s="42">
        <f t="shared" si="15"/>
        <v>1981.62</v>
      </c>
      <c r="L309" s="41">
        <f t="shared" si="15"/>
        <v>141967.21999999997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172478.26</v>
      </c>
      <c r="G315" s="18"/>
      <c r="H315" s="18">
        <f>53616.31</f>
        <v>53616.31</v>
      </c>
      <c r="I315" s="18"/>
      <c r="J315" s="18"/>
      <c r="K315" s="18"/>
      <c r="L315" s="19">
        <f>SUM(F315:K315)</f>
        <v>226094.57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>
        <f>297</f>
        <v>297</v>
      </c>
      <c r="I317" s="18">
        <f>954.23+58.46</f>
        <v>1012.69</v>
      </c>
      <c r="J317" s="18">
        <f>7594.39</f>
        <v>7594.39</v>
      </c>
      <c r="K317" s="18">
        <f>125+3846.68</f>
        <v>3971.68</v>
      </c>
      <c r="L317" s="19">
        <f>SUM(F317:K317)</f>
        <v>12875.76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28354.99</v>
      </c>
      <c r="G319" s="18"/>
      <c r="H319" s="18">
        <f>66</f>
        <v>66</v>
      </c>
      <c r="I319" s="18"/>
      <c r="J319" s="18"/>
      <c r="K319" s="18"/>
      <c r="L319" s="19">
        <f t="shared" ref="L319:L325" si="16">SUM(F319:K319)</f>
        <v>28420.99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8611.5300000000007</v>
      </c>
      <c r="G320" s="18"/>
      <c r="H320" s="18">
        <f>4125</f>
        <v>4125</v>
      </c>
      <c r="I320" s="18">
        <f>1650</f>
        <v>1650</v>
      </c>
      <c r="J320" s="18"/>
      <c r="K320" s="18"/>
      <c r="L320" s="19">
        <f t="shared" si="16"/>
        <v>14386.53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682.29</v>
      </c>
      <c r="G321" s="18">
        <f>51.06</f>
        <v>51.06</v>
      </c>
      <c r="H321" s="18"/>
      <c r="I321" s="18"/>
      <c r="J321" s="18"/>
      <c r="K321" s="18"/>
      <c r="L321" s="19">
        <f t="shared" si="16"/>
        <v>733.34999999999991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>
        <f>1745.84</f>
        <v>1745.84</v>
      </c>
      <c r="I325" s="18"/>
      <c r="J325" s="18"/>
      <c r="K325" s="18"/>
      <c r="L325" s="19">
        <f t="shared" si="16"/>
        <v>1745.84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210127.07</v>
      </c>
      <c r="G328" s="42">
        <f t="shared" si="17"/>
        <v>51.06</v>
      </c>
      <c r="H328" s="42">
        <f t="shared" si="17"/>
        <v>59850.149999999994</v>
      </c>
      <c r="I328" s="42">
        <f t="shared" si="17"/>
        <v>2662.69</v>
      </c>
      <c r="J328" s="42">
        <f t="shared" si="17"/>
        <v>7594.39</v>
      </c>
      <c r="K328" s="42">
        <f t="shared" si="17"/>
        <v>3971.68</v>
      </c>
      <c r="L328" s="41">
        <f t="shared" si="17"/>
        <v>284257.04000000004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5637.67</v>
      </c>
      <c r="G333" s="18">
        <v>396.23</v>
      </c>
      <c r="H333" s="18"/>
      <c r="I333" s="18"/>
      <c r="J333" s="18"/>
      <c r="K333" s="18"/>
      <c r="L333" s="19">
        <f t="shared" si="18"/>
        <v>6033.9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5637.67</v>
      </c>
      <c r="G337" s="41">
        <f t="shared" si="19"/>
        <v>396.23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6033.9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905476.57000000018</v>
      </c>
      <c r="G338" s="41">
        <f t="shared" si="20"/>
        <v>11912.089999999998</v>
      </c>
      <c r="H338" s="41">
        <f t="shared" si="20"/>
        <v>198288.37999999998</v>
      </c>
      <c r="I338" s="41">
        <f t="shared" si="20"/>
        <v>7611.9599999999991</v>
      </c>
      <c r="J338" s="41">
        <f t="shared" si="20"/>
        <v>7594.39</v>
      </c>
      <c r="K338" s="41">
        <f t="shared" si="20"/>
        <v>11781.6</v>
      </c>
      <c r="L338" s="41">
        <f t="shared" si="20"/>
        <v>1142664.9899999998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905476.57000000018</v>
      </c>
      <c r="G352" s="41">
        <f>G338</f>
        <v>11912.089999999998</v>
      </c>
      <c r="H352" s="41">
        <f>H338</f>
        <v>198288.37999999998</v>
      </c>
      <c r="I352" s="41">
        <f>I338</f>
        <v>7611.9599999999991</v>
      </c>
      <c r="J352" s="41">
        <f>J338</f>
        <v>7594.39</v>
      </c>
      <c r="K352" s="47">
        <f>K338+K351</f>
        <v>11781.6</v>
      </c>
      <c r="L352" s="41">
        <f>L338+L351</f>
        <v>1142664.9899999998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174369.47+74331.15</f>
        <v>248700.62</v>
      </c>
      <c r="G358" s="18">
        <f>57169.26</f>
        <v>57169.26</v>
      </c>
      <c r="H358" s="18">
        <f>16787.61+6882.59</f>
        <v>23670.2</v>
      </c>
      <c r="I358" s="18">
        <f>388936.61+4829.81</f>
        <v>393766.42</v>
      </c>
      <c r="J358" s="18">
        <f>3352+8885.49</f>
        <v>12237.49</v>
      </c>
      <c r="K358" s="18">
        <v>1615.49</v>
      </c>
      <c r="L358" s="13">
        <f>SUM(F358:K358)</f>
        <v>737159.48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65538.58+25272.59</f>
        <v>90811.17</v>
      </c>
      <c r="G359" s="18">
        <v>19437.55</v>
      </c>
      <c r="H359" s="18">
        <f>7828.43+2340.08</f>
        <v>10168.51</v>
      </c>
      <c r="I359" s="18">
        <f>201256.15+1642.13</f>
        <v>202898.28</v>
      </c>
      <c r="J359" s="18">
        <f>3021.07</f>
        <v>3021.07</v>
      </c>
      <c r="K359" s="18">
        <v>549.26</v>
      </c>
      <c r="L359" s="19">
        <f>SUM(F359:K359)</f>
        <v>326885.84000000003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145755.94+49058.57</f>
        <v>194814.51</v>
      </c>
      <c r="G360" s="18">
        <v>37731.71</v>
      </c>
      <c r="H360" s="18">
        <f>7817.77+4542.51</f>
        <v>12360.28</v>
      </c>
      <c r="I360" s="18">
        <f>343226.13+3187.67</f>
        <v>346413.8</v>
      </c>
      <c r="J360" s="18">
        <f>5864.42</f>
        <v>5864.42</v>
      </c>
      <c r="K360" s="18">
        <v>1066.22</v>
      </c>
      <c r="L360" s="19">
        <f>SUM(F360:K360)</f>
        <v>598250.94000000006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>
        <v>1493.36</v>
      </c>
      <c r="L361" s="13">
        <f>SUM(F361:K361)</f>
        <v>1493.36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534326.30000000005</v>
      </c>
      <c r="G362" s="47">
        <f t="shared" si="22"/>
        <v>114338.51999999999</v>
      </c>
      <c r="H362" s="47">
        <f t="shared" si="22"/>
        <v>46198.99</v>
      </c>
      <c r="I362" s="47">
        <f t="shared" si="22"/>
        <v>943078.5</v>
      </c>
      <c r="J362" s="47">
        <f t="shared" si="22"/>
        <v>21122.98</v>
      </c>
      <c r="K362" s="47">
        <f t="shared" si="22"/>
        <v>4724.33</v>
      </c>
      <c r="L362" s="47">
        <f t="shared" si="22"/>
        <v>1663789.6200000003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355104.22</v>
      </c>
      <c r="G367" s="18">
        <v>186093.87</v>
      </c>
      <c r="H367" s="18">
        <f>322354.5</f>
        <v>322354.5</v>
      </c>
      <c r="I367" s="56">
        <f>SUM(F367:H367)</f>
        <v>863552.59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f>33832.39+4829.81</f>
        <v>38662.199999999997</v>
      </c>
      <c r="G368" s="63">
        <f>15162.28+1642.13</f>
        <v>16804.41</v>
      </c>
      <c r="H368" s="63">
        <f>20871.63+3187.67</f>
        <v>24059.300000000003</v>
      </c>
      <c r="I368" s="56">
        <f>SUM(F368:H368)</f>
        <v>79525.91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393766.42</v>
      </c>
      <c r="G369" s="47">
        <f>SUM(G367:G368)</f>
        <v>202898.28</v>
      </c>
      <c r="H369" s="47">
        <f>SUM(H367:H368)</f>
        <v>346413.8</v>
      </c>
      <c r="I369" s="47">
        <f>SUM(I367:I368)</f>
        <v>943078.5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>
        <v>7573.44</v>
      </c>
      <c r="I392" s="18"/>
      <c r="J392" s="24" t="s">
        <v>288</v>
      </c>
      <c r="K392" s="24" t="s">
        <v>288</v>
      </c>
      <c r="L392" s="56">
        <f t="shared" si="25"/>
        <v>7573.44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7573.44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7573.44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7573.44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7573.44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491153.01</v>
      </c>
      <c r="G442" s="18"/>
      <c r="H442" s="18"/>
      <c r="I442" s="56">
        <f t="shared" si="33"/>
        <v>491153.01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491153.01</v>
      </c>
      <c r="G446" s="13">
        <f>SUM(G439:G445)</f>
        <v>0</v>
      </c>
      <c r="H446" s="13">
        <f>SUM(H439:H445)</f>
        <v>0</v>
      </c>
      <c r="I446" s="13">
        <f>SUM(I439:I445)</f>
        <v>491153.01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491153.01</v>
      </c>
      <c r="G459" s="18"/>
      <c r="H459" s="18"/>
      <c r="I459" s="56">
        <f t="shared" si="34"/>
        <v>491153.01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491153.01</v>
      </c>
      <c r="G460" s="83">
        <f>SUM(G454:G459)</f>
        <v>0</v>
      </c>
      <c r="H460" s="83">
        <f>SUM(H454:H459)</f>
        <v>0</v>
      </c>
      <c r="I460" s="83">
        <f>SUM(I454:I459)</f>
        <v>491153.01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491153.01</v>
      </c>
      <c r="G461" s="42">
        <f>G452+G460</f>
        <v>0</v>
      </c>
      <c r="H461" s="42">
        <f>H452+H460</f>
        <v>0</v>
      </c>
      <c r="I461" s="42">
        <f>I452+I460</f>
        <v>491153.01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3120843.73</v>
      </c>
      <c r="G465" s="18">
        <v>292793.11</v>
      </c>
      <c r="H465" s="18">
        <v>0</v>
      </c>
      <c r="I465" s="18">
        <v>0</v>
      </c>
      <c r="J465" s="18">
        <v>483579.57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v>67971775.560000002</v>
      </c>
      <c r="G468" s="18">
        <v>1838100.87</v>
      </c>
      <c r="H468" s="18">
        <v>1142664.99</v>
      </c>
      <c r="I468" s="18"/>
      <c r="J468" s="18">
        <v>7573.44</v>
      </c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67971775.560000002</v>
      </c>
      <c r="G470" s="53">
        <f>SUM(G468:G469)</f>
        <v>1838100.87</v>
      </c>
      <c r="H470" s="53">
        <f>SUM(H468:H469)</f>
        <v>1142664.99</v>
      </c>
      <c r="I470" s="53">
        <f>SUM(I468:I469)</f>
        <v>0</v>
      </c>
      <c r="J470" s="53">
        <f>SUM(J468:J469)</f>
        <v>7573.44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v>63701640.899999999</v>
      </c>
      <c r="G472" s="18">
        <v>1663789.62</v>
      </c>
      <c r="H472" s="18">
        <v>1142664.99</v>
      </c>
      <c r="I472" s="18"/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63701640.899999999</v>
      </c>
      <c r="G474" s="53">
        <f>SUM(G472:G473)</f>
        <v>1663789.62</v>
      </c>
      <c r="H474" s="53">
        <f>SUM(H472:H473)</f>
        <v>1142664.99</v>
      </c>
      <c r="I474" s="53">
        <f>SUM(I472:I473)</f>
        <v>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7390978.390000008</v>
      </c>
      <c r="G476" s="53">
        <f>(G465+G470)- G474</f>
        <v>467104.35999999987</v>
      </c>
      <c r="H476" s="53">
        <f>(H465+H470)- H474</f>
        <v>0</v>
      </c>
      <c r="I476" s="53">
        <f>(I465+I470)- I474</f>
        <v>0</v>
      </c>
      <c r="J476" s="53">
        <f>(J465+J470)- J474</f>
        <v>491153.01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>
        <v>20</v>
      </c>
      <c r="H490" s="154">
        <v>10</v>
      </c>
      <c r="I490" s="154">
        <v>15</v>
      </c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912</v>
      </c>
      <c r="G491" s="155" t="s">
        <v>913</v>
      </c>
      <c r="H491" s="154" t="s">
        <v>914</v>
      </c>
      <c r="I491" s="154" t="s">
        <v>915</v>
      </c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916</v>
      </c>
      <c r="G492" s="155" t="s">
        <v>917</v>
      </c>
      <c r="H492" s="154" t="s">
        <v>918</v>
      </c>
      <c r="I492" s="154" t="s">
        <v>919</v>
      </c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3935000</v>
      </c>
      <c r="G493" s="18">
        <v>800000</v>
      </c>
      <c r="H493" s="18">
        <v>2681350</v>
      </c>
      <c r="I493" s="18">
        <v>32715000</v>
      </c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3.34</v>
      </c>
      <c r="G494" s="18">
        <v>4.5199999999999996</v>
      </c>
      <c r="H494" s="18">
        <v>4.28</v>
      </c>
      <c r="I494" s="18">
        <v>2.63</v>
      </c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1155000</v>
      </c>
      <c r="G495" s="18">
        <v>440000</v>
      </c>
      <c r="H495" s="18">
        <v>530000</v>
      </c>
      <c r="I495" s="18">
        <v>30090000</v>
      </c>
      <c r="J495" s="18"/>
      <c r="K495" s="53">
        <f>SUM(F495:J495)</f>
        <v>32215000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390000</v>
      </c>
      <c r="G497" s="18">
        <v>40000</v>
      </c>
      <c r="H497" s="18">
        <v>265000</v>
      </c>
      <c r="I497" s="18">
        <v>1970000</v>
      </c>
      <c r="J497" s="18"/>
      <c r="K497" s="53">
        <f t="shared" si="35"/>
        <v>2665000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v>765000</v>
      </c>
      <c r="G498" s="204">
        <v>400000</v>
      </c>
      <c r="H498" s="204">
        <v>265000</v>
      </c>
      <c r="I498" s="204">
        <v>28120000</v>
      </c>
      <c r="J498" s="204"/>
      <c r="K498" s="205">
        <f t="shared" si="35"/>
        <v>29550000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32344</v>
      </c>
      <c r="G499" s="18">
        <v>91355</v>
      </c>
      <c r="H499" s="18">
        <v>6625</v>
      </c>
      <c r="I499" s="18">
        <v>9370275</v>
      </c>
      <c r="J499" s="18"/>
      <c r="K499" s="53">
        <f t="shared" si="35"/>
        <v>9500599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797344</v>
      </c>
      <c r="G500" s="42">
        <f>SUM(G498:G499)</f>
        <v>491355</v>
      </c>
      <c r="H500" s="42">
        <f>SUM(H498:H499)</f>
        <v>271625</v>
      </c>
      <c r="I500" s="42">
        <f>SUM(I498:I499)</f>
        <v>37490275</v>
      </c>
      <c r="J500" s="42">
        <f>SUM(J498:J499)</f>
        <v>0</v>
      </c>
      <c r="K500" s="42">
        <f t="shared" si="35"/>
        <v>39050599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385000</v>
      </c>
      <c r="G501" s="204">
        <v>40000</v>
      </c>
      <c r="H501" s="204">
        <v>265000</v>
      </c>
      <c r="I501" s="204">
        <v>1880000</v>
      </c>
      <c r="J501" s="204"/>
      <c r="K501" s="205">
        <f t="shared" si="35"/>
        <v>2570000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23969</v>
      </c>
      <c r="G502" s="18">
        <v>17190</v>
      </c>
      <c r="H502" s="18">
        <v>6625</v>
      </c>
      <c r="I502" s="18">
        <v>1214650</v>
      </c>
      <c r="J502" s="18"/>
      <c r="K502" s="53">
        <f t="shared" si="35"/>
        <v>1262434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408969</v>
      </c>
      <c r="G503" s="42">
        <f>SUM(G501:G502)</f>
        <v>57190</v>
      </c>
      <c r="H503" s="42">
        <f>SUM(H501:H502)</f>
        <v>271625</v>
      </c>
      <c r="I503" s="42">
        <f>SUM(I501:I502)</f>
        <v>3094650</v>
      </c>
      <c r="J503" s="42">
        <f>SUM(J501:J502)</f>
        <v>0</v>
      </c>
      <c r="K503" s="42">
        <f t="shared" si="35"/>
        <v>3832434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v>3034006.02</v>
      </c>
      <c r="G521" s="18">
        <v>561311.44999999995</v>
      </c>
      <c r="H521" s="18">
        <v>774800.26899999997</v>
      </c>
      <c r="I521" s="18">
        <v>16454.36</v>
      </c>
      <c r="J521" s="18"/>
      <c r="K521" s="18"/>
      <c r="L521" s="88">
        <f>SUM(F521:K521)</f>
        <v>4386572.0990000004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v>1031562.05</v>
      </c>
      <c r="G522" s="18">
        <v>190845.89</v>
      </c>
      <c r="H522" s="18">
        <v>263432.09999999998</v>
      </c>
      <c r="I522" s="18">
        <v>5594.48</v>
      </c>
      <c r="J522" s="18"/>
      <c r="K522" s="18"/>
      <c r="L522" s="88">
        <f>SUM(F522:K522)</f>
        <v>1491434.52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v>2002443.97</v>
      </c>
      <c r="G523" s="18">
        <v>370465.56</v>
      </c>
      <c r="H523" s="18">
        <v>511368.19</v>
      </c>
      <c r="I523" s="18">
        <v>10859.88</v>
      </c>
      <c r="J523" s="18"/>
      <c r="K523" s="18"/>
      <c r="L523" s="88">
        <f>SUM(F523:K523)</f>
        <v>2895137.5999999996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6068012.04</v>
      </c>
      <c r="G524" s="108">
        <f t="shared" ref="G524:L524" si="36">SUM(G521:G523)</f>
        <v>1122622.8999999999</v>
      </c>
      <c r="H524" s="108">
        <f t="shared" si="36"/>
        <v>1549600.5589999999</v>
      </c>
      <c r="I524" s="108">
        <f t="shared" si="36"/>
        <v>32908.720000000001</v>
      </c>
      <c r="J524" s="108">
        <f t="shared" si="36"/>
        <v>0</v>
      </c>
      <c r="K524" s="108">
        <f t="shared" si="36"/>
        <v>0</v>
      </c>
      <c r="L524" s="89">
        <f t="shared" si="36"/>
        <v>8773144.2190000005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336880.04</v>
      </c>
      <c r="G526" s="18">
        <v>19968.39</v>
      </c>
      <c r="H526" s="18">
        <v>479593.25</v>
      </c>
      <c r="I526" s="18">
        <v>6427.14</v>
      </c>
      <c r="J526" s="18"/>
      <c r="K526" s="18"/>
      <c r="L526" s="88">
        <f>SUM(F526:K526)</f>
        <v>842868.82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114539.21</v>
      </c>
      <c r="G527" s="18">
        <v>6789.25</v>
      </c>
      <c r="H527" s="18">
        <v>163061.71</v>
      </c>
      <c r="I527" s="18">
        <v>2185.23</v>
      </c>
      <c r="J527" s="18"/>
      <c r="K527" s="18"/>
      <c r="L527" s="88">
        <f>SUM(F527:K527)</f>
        <v>286575.39999999997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222340.82</v>
      </c>
      <c r="G528" s="18">
        <v>13179.14</v>
      </c>
      <c r="H528" s="18">
        <v>316531.55</v>
      </c>
      <c r="I528" s="18">
        <v>4241.91</v>
      </c>
      <c r="J528" s="18"/>
      <c r="K528" s="18"/>
      <c r="L528" s="88">
        <f>SUM(F528:K528)</f>
        <v>556293.42000000004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673760.07000000007</v>
      </c>
      <c r="G529" s="89">
        <f t="shared" ref="G529:L529" si="37">SUM(G526:G528)</f>
        <v>39936.78</v>
      </c>
      <c r="H529" s="89">
        <f t="shared" si="37"/>
        <v>959186.51</v>
      </c>
      <c r="I529" s="89">
        <f t="shared" si="37"/>
        <v>12854.28</v>
      </c>
      <c r="J529" s="89">
        <f t="shared" si="37"/>
        <v>0</v>
      </c>
      <c r="K529" s="89">
        <f t="shared" si="37"/>
        <v>0</v>
      </c>
      <c r="L529" s="89">
        <f t="shared" si="37"/>
        <v>1685737.6400000001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130193.62</v>
      </c>
      <c r="G531" s="18">
        <v>3166.78</v>
      </c>
      <c r="H531" s="18">
        <v>2342.9699999999998</v>
      </c>
      <c r="I531" s="18">
        <v>591.09</v>
      </c>
      <c r="J531" s="18">
        <v>6983.66</v>
      </c>
      <c r="K531" s="18">
        <v>2012.26</v>
      </c>
      <c r="L531" s="88">
        <f>SUM(F531:K531)</f>
        <v>145290.38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44265.83</v>
      </c>
      <c r="G532" s="18">
        <v>1076.71</v>
      </c>
      <c r="H532" s="18">
        <v>796.61</v>
      </c>
      <c r="I532" s="18">
        <v>200.97</v>
      </c>
      <c r="J532" s="18">
        <v>2374.44</v>
      </c>
      <c r="K532" s="18">
        <v>684.17</v>
      </c>
      <c r="L532" s="88">
        <f>SUM(F532:K532)</f>
        <v>49398.73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85927.79</v>
      </c>
      <c r="G533" s="18">
        <v>2090.08</v>
      </c>
      <c r="H533" s="18">
        <v>1546.36</v>
      </c>
      <c r="I533" s="18">
        <v>390.12</v>
      </c>
      <c r="J533" s="18">
        <v>4609.21</v>
      </c>
      <c r="K533" s="18">
        <v>1328.09</v>
      </c>
      <c r="L533" s="88">
        <f>SUM(F533:K533)</f>
        <v>95891.65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260387.24</v>
      </c>
      <c r="G534" s="89">
        <f t="shared" ref="G534:L534" si="38">SUM(G531:G533)</f>
        <v>6333.57</v>
      </c>
      <c r="H534" s="89">
        <f t="shared" si="38"/>
        <v>4685.9399999999996</v>
      </c>
      <c r="I534" s="89">
        <f t="shared" si="38"/>
        <v>1182.18</v>
      </c>
      <c r="J534" s="89">
        <f t="shared" si="38"/>
        <v>13967.310000000001</v>
      </c>
      <c r="K534" s="89">
        <f t="shared" si="38"/>
        <v>4024.5199999999995</v>
      </c>
      <c r="L534" s="89">
        <f t="shared" si="38"/>
        <v>290580.76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13915.19</v>
      </c>
      <c r="I536" s="18"/>
      <c r="J536" s="18"/>
      <c r="K536" s="18"/>
      <c r="L536" s="88">
        <f>SUM(F536:K536)</f>
        <v>13915.19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4731.16</v>
      </c>
      <c r="I537" s="18"/>
      <c r="J537" s="18"/>
      <c r="K537" s="18"/>
      <c r="L537" s="88">
        <f>SUM(F537:K537)</f>
        <v>4731.16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9184.0300000000007</v>
      </c>
      <c r="I538" s="18"/>
      <c r="J538" s="18"/>
      <c r="K538" s="18"/>
      <c r="L538" s="88">
        <f>SUM(F538:K538)</f>
        <v>9184.0300000000007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27830.379999999997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27830.379999999997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>
        <v>6095.3</v>
      </c>
      <c r="G541" s="18">
        <f>3294.43</f>
        <v>3294.43</v>
      </c>
      <c r="H541" s="18">
        <v>371396.43</v>
      </c>
      <c r="I541" s="18"/>
      <c r="J541" s="18"/>
      <c r="K541" s="18"/>
      <c r="L541" s="88">
        <f>SUM(F541:K541)</f>
        <v>380786.16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>
        <v>2072.4</v>
      </c>
      <c r="G542" s="18">
        <v>1120.1099999999999</v>
      </c>
      <c r="H542" s="18">
        <v>126274.79</v>
      </c>
      <c r="I542" s="18"/>
      <c r="J542" s="18"/>
      <c r="K542" s="18"/>
      <c r="L542" s="88">
        <f>SUM(F542:K542)</f>
        <v>129467.29999999999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>
        <v>4022.9</v>
      </c>
      <c r="G543" s="18">
        <v>2174.3200000000002</v>
      </c>
      <c r="H543" s="18">
        <v>245121.64</v>
      </c>
      <c r="I543" s="18"/>
      <c r="J543" s="18"/>
      <c r="K543" s="18"/>
      <c r="L543" s="88">
        <f>SUM(F543:K543)</f>
        <v>251318.86000000002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12190.6</v>
      </c>
      <c r="G544" s="193">
        <f t="shared" ref="G544:L544" si="40">SUM(G541:G543)</f>
        <v>6588.8600000000006</v>
      </c>
      <c r="H544" s="193">
        <f t="shared" si="40"/>
        <v>742792.86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761572.32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7014349.9500000002</v>
      </c>
      <c r="G545" s="89">
        <f t="shared" ref="G545:L545" si="41">G524+G529+G534+G539+G544</f>
        <v>1175482.1100000001</v>
      </c>
      <c r="H545" s="89">
        <f t="shared" si="41"/>
        <v>3284096.2489999998</v>
      </c>
      <c r="I545" s="89">
        <f t="shared" si="41"/>
        <v>46945.18</v>
      </c>
      <c r="J545" s="89">
        <f t="shared" si="41"/>
        <v>13967.310000000001</v>
      </c>
      <c r="K545" s="89">
        <f t="shared" si="41"/>
        <v>4024.5199999999995</v>
      </c>
      <c r="L545" s="89">
        <f t="shared" si="41"/>
        <v>11538865.319000002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4386572.0990000004</v>
      </c>
      <c r="G549" s="87">
        <f>L526</f>
        <v>842868.82</v>
      </c>
      <c r="H549" s="87">
        <f>L531</f>
        <v>145290.38</v>
      </c>
      <c r="I549" s="87">
        <f>L536</f>
        <v>13915.19</v>
      </c>
      <c r="J549" s="87">
        <f>L541</f>
        <v>380786.16</v>
      </c>
      <c r="K549" s="87">
        <f>SUM(F549:J549)</f>
        <v>5769432.6490000011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1491434.52</v>
      </c>
      <c r="G550" s="87">
        <f>L527</f>
        <v>286575.39999999997</v>
      </c>
      <c r="H550" s="87">
        <f>L532</f>
        <v>49398.73</v>
      </c>
      <c r="I550" s="87">
        <f>L537</f>
        <v>4731.16</v>
      </c>
      <c r="J550" s="87">
        <f>L542</f>
        <v>129467.29999999999</v>
      </c>
      <c r="K550" s="87">
        <f>SUM(F550:J550)</f>
        <v>1961607.1099999999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2895137.5999999996</v>
      </c>
      <c r="G551" s="87">
        <f>L528</f>
        <v>556293.42000000004</v>
      </c>
      <c r="H551" s="87">
        <f>L533</f>
        <v>95891.65</v>
      </c>
      <c r="I551" s="87">
        <f>L538</f>
        <v>9184.0300000000007</v>
      </c>
      <c r="J551" s="87">
        <f>L543</f>
        <v>251318.86000000002</v>
      </c>
      <c r="K551" s="87">
        <f>SUM(F551:J551)</f>
        <v>3807825.5599999991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2">SUM(F549:F551)</f>
        <v>8773144.2190000005</v>
      </c>
      <c r="G552" s="89">
        <f t="shared" si="42"/>
        <v>1685737.6400000001</v>
      </c>
      <c r="H552" s="89">
        <f t="shared" si="42"/>
        <v>290580.76</v>
      </c>
      <c r="I552" s="89">
        <f t="shared" si="42"/>
        <v>27830.379999999997</v>
      </c>
      <c r="J552" s="89">
        <f t="shared" si="42"/>
        <v>761572.32</v>
      </c>
      <c r="K552" s="89">
        <f t="shared" si="42"/>
        <v>11538865.319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35842.75</v>
      </c>
      <c r="G562" s="18">
        <v>6631.15</v>
      </c>
      <c r="H562" s="18"/>
      <c r="I562" s="18"/>
      <c r="J562" s="18"/>
      <c r="K562" s="18"/>
      <c r="L562" s="88">
        <f>SUM(F562:K562)</f>
        <v>42473.9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12186.54</v>
      </c>
      <c r="G563" s="18">
        <v>2254.59</v>
      </c>
      <c r="H563" s="18"/>
      <c r="I563" s="18"/>
      <c r="J563" s="18"/>
      <c r="K563" s="18"/>
      <c r="L563" s="88">
        <f>SUM(F563:K563)</f>
        <v>14441.130000000001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23656.22</v>
      </c>
      <c r="G564" s="18">
        <v>4376.5600000000004</v>
      </c>
      <c r="H564" s="18"/>
      <c r="I564" s="18"/>
      <c r="J564" s="18"/>
      <c r="K564" s="18"/>
      <c r="L564" s="88">
        <f>SUM(F564:K564)</f>
        <v>28032.780000000002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4">SUM(F562:F564)</f>
        <v>71685.510000000009</v>
      </c>
      <c r="G565" s="89">
        <f t="shared" si="44"/>
        <v>13262.3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84947.81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>
        <v>237094.6</v>
      </c>
      <c r="G567" s="18">
        <v>43864.09</v>
      </c>
      <c r="H567" s="18"/>
      <c r="I567" s="18">
        <v>13351.31</v>
      </c>
      <c r="J567" s="18"/>
      <c r="K567" s="18"/>
      <c r="L567" s="88">
        <f>SUM(F567:K567)</f>
        <v>294310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>
        <v>69493</v>
      </c>
      <c r="G568" s="18">
        <v>12856.67</v>
      </c>
      <c r="H568" s="18"/>
      <c r="I568" s="18">
        <v>2388.4699999999998</v>
      </c>
      <c r="J568" s="18"/>
      <c r="K568" s="18"/>
      <c r="L568" s="88">
        <f>SUM(F568:K568)</f>
        <v>84738.14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306587.59999999998</v>
      </c>
      <c r="G570" s="193">
        <f t="shared" ref="G570:L570" si="45">SUM(G567:G569)</f>
        <v>56720.759999999995</v>
      </c>
      <c r="H570" s="193">
        <f t="shared" si="45"/>
        <v>0</v>
      </c>
      <c r="I570" s="193">
        <f t="shared" si="45"/>
        <v>15739.779999999999</v>
      </c>
      <c r="J570" s="193">
        <f t="shared" si="45"/>
        <v>0</v>
      </c>
      <c r="K570" s="193">
        <f t="shared" si="45"/>
        <v>0</v>
      </c>
      <c r="L570" s="193">
        <f t="shared" si="45"/>
        <v>379048.14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378273.11</v>
      </c>
      <c r="G571" s="89">
        <f t="shared" ref="G571:L571" si="46">G560+G565+G570</f>
        <v>69983.06</v>
      </c>
      <c r="H571" s="89">
        <f t="shared" si="46"/>
        <v>0</v>
      </c>
      <c r="I571" s="89">
        <f t="shared" si="46"/>
        <v>15739.779999999999</v>
      </c>
      <c r="J571" s="89">
        <f t="shared" si="46"/>
        <v>0</v>
      </c>
      <c r="K571" s="89">
        <f t="shared" si="46"/>
        <v>0</v>
      </c>
      <c r="L571" s="89">
        <f t="shared" si="46"/>
        <v>463995.95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>
        <v>7785</v>
      </c>
      <c r="G575" s="18"/>
      <c r="H575" s="18"/>
      <c r="I575" s="87">
        <f>SUM(F575:H575)</f>
        <v>7785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7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107290</v>
      </c>
      <c r="G579" s="18">
        <v>0</v>
      </c>
      <c r="H579" s="18">
        <v>10162.32</v>
      </c>
      <c r="I579" s="87">
        <f t="shared" si="47"/>
        <v>117452.32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7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296847.26</v>
      </c>
      <c r="G582" s="18">
        <v>283999.18</v>
      </c>
      <c r="H582" s="18">
        <v>655198.13</v>
      </c>
      <c r="I582" s="87">
        <f t="shared" si="47"/>
        <v>1236044.5699999998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49089.38</v>
      </c>
      <c r="I584" s="87">
        <f t="shared" si="47"/>
        <v>49089.38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7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f>887207.38+14560.71+7869.87</f>
        <v>909637.96</v>
      </c>
      <c r="I591" s="18">
        <f>301650.51+4950.64+2675.76+0.01</f>
        <v>309276.92000000004</v>
      </c>
      <c r="J591" s="18">
        <v>590161.57999999996</v>
      </c>
      <c r="K591" s="104">
        <f t="shared" ref="K591:K597" si="48">SUM(H591:J591)</f>
        <v>1809076.46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369004.84+2391.6+6095.3+3294.43</f>
        <v>380786.17</v>
      </c>
      <c r="I592" s="18">
        <f>125461.64+813.14+2072.4+1120.11</f>
        <v>129467.29</v>
      </c>
      <c r="J592" s="18">
        <v>251318.86000000002</v>
      </c>
      <c r="K592" s="104">
        <f t="shared" si="48"/>
        <v>761572.32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v>10200</v>
      </c>
      <c r="K593" s="104">
        <f t="shared" si="48"/>
        <v>10200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f>14535.27+362</f>
        <v>14897.27</v>
      </c>
      <c r="J594" s="18">
        <v>93524.2</v>
      </c>
      <c r="K594" s="104">
        <f t="shared" si="48"/>
        <v>108421.47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/>
      <c r="I595" s="18">
        <v>4500</v>
      </c>
      <c r="J595" s="18">
        <v>11770.25</v>
      </c>
      <c r="K595" s="104">
        <f t="shared" si="48"/>
        <v>16270.25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1290424.1299999999</v>
      </c>
      <c r="I598" s="108">
        <f>SUM(I591:I597)</f>
        <v>458141.48000000004</v>
      </c>
      <c r="J598" s="108">
        <f>SUM(J591:J597)</f>
        <v>956974.8899999999</v>
      </c>
      <c r="K598" s="108">
        <f>SUM(K591:K597)</f>
        <v>2705540.5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233679.26</v>
      </c>
      <c r="I604" s="18">
        <v>73621.740000000005</v>
      </c>
      <c r="J604" s="18">
        <v>190252.65</v>
      </c>
      <c r="K604" s="104">
        <f>SUM(H604:J604)</f>
        <v>497553.65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233679.26</v>
      </c>
      <c r="I605" s="108">
        <f>SUM(I602:I604)</f>
        <v>73621.740000000005</v>
      </c>
      <c r="J605" s="108">
        <f>SUM(J602:J604)</f>
        <v>190252.65</v>
      </c>
      <c r="K605" s="108">
        <f>SUM(K602:K604)</f>
        <v>497553.65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>
        <v>5824</v>
      </c>
      <c r="G612" s="18">
        <v>128.15</v>
      </c>
      <c r="H612" s="18"/>
      <c r="I612" s="18"/>
      <c r="J612" s="18"/>
      <c r="K612" s="18"/>
      <c r="L612" s="88">
        <f>SUM(F612:K612)</f>
        <v>5952.15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>
        <v>101805.18</v>
      </c>
      <c r="G613" s="18">
        <v>2240.0300000000002</v>
      </c>
      <c r="H613" s="18"/>
      <c r="I613" s="18"/>
      <c r="J613" s="18"/>
      <c r="K613" s="18"/>
      <c r="L613" s="88">
        <f>SUM(F613:K613)</f>
        <v>104045.20999999999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49">SUM(F611:F613)</f>
        <v>107629.18</v>
      </c>
      <c r="G614" s="108">
        <f t="shared" si="49"/>
        <v>2368.1800000000003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109997.35999999999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10485383.800000001</v>
      </c>
      <c r="H617" s="109">
        <f>SUM(F52)</f>
        <v>10485383.799999999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552014.32999999996</v>
      </c>
      <c r="H618" s="109">
        <f>SUM(G52)</f>
        <v>552014.32999999996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297319.96999999997</v>
      </c>
      <c r="H619" s="109">
        <f>SUM(H52)</f>
        <v>297319.97000000003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0</v>
      </c>
      <c r="H620" s="109">
        <f>SUM(I52)</f>
        <v>0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491153.01</v>
      </c>
      <c r="H621" s="109">
        <f>SUM(J52)</f>
        <v>491153.01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7390978.3899999997</v>
      </c>
      <c r="H622" s="109">
        <f>F476</f>
        <v>7390978.390000008</v>
      </c>
      <c r="I622" s="121" t="s">
        <v>101</v>
      </c>
      <c r="J622" s="109">
        <f t="shared" ref="J622:J655" si="50">G622-H622</f>
        <v>-8.3819031715393066E-9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467104.36</v>
      </c>
      <c r="H623" s="109">
        <f>G476</f>
        <v>467104.35999999987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491153.01</v>
      </c>
      <c r="H626" s="109">
        <f>J476</f>
        <v>491153.01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67971775.560000002</v>
      </c>
      <c r="H627" s="104">
        <f>SUM(F468)</f>
        <v>67971775.560000002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1838100.8699999999</v>
      </c>
      <c r="H628" s="104">
        <f>SUM(G468)</f>
        <v>1838100.87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1142664.99</v>
      </c>
      <c r="H629" s="104">
        <f>SUM(H468)</f>
        <v>1142664.99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7573.44</v>
      </c>
      <c r="H631" s="104">
        <f>SUM(J468)</f>
        <v>7573.44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63701640.900000006</v>
      </c>
      <c r="H632" s="104">
        <f>SUM(F472)</f>
        <v>63701640.899999999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1142664.9899999998</v>
      </c>
      <c r="H633" s="104">
        <f>SUM(H472)</f>
        <v>1142664.99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943078.5</v>
      </c>
      <c r="H634" s="104">
        <f>I369</f>
        <v>943078.5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1663789.6200000003</v>
      </c>
      <c r="H635" s="104">
        <f>SUM(G472)</f>
        <v>1663789.62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7573.44</v>
      </c>
      <c r="H637" s="164">
        <f>SUM(J468)</f>
        <v>7573.44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491153.01</v>
      </c>
      <c r="H639" s="104">
        <f>SUM(F461)</f>
        <v>491153.01</v>
      </c>
      <c r="I639" s="140" t="s">
        <v>856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857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491153.01</v>
      </c>
      <c r="H642" s="104">
        <f>SUM(I461)</f>
        <v>491153.01</v>
      </c>
      <c r="I642" s="140" t="s">
        <v>859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7573.44</v>
      </c>
      <c r="H644" s="104">
        <f>H408</f>
        <v>7573.44</v>
      </c>
      <c r="I644" s="140" t="s">
        <v>480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7573.44</v>
      </c>
      <c r="H646" s="104">
        <f>L408</f>
        <v>7573.44</v>
      </c>
      <c r="I646" s="140" t="s">
        <v>477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2705540.5</v>
      </c>
      <c r="H647" s="104">
        <f>L208+L226+L244</f>
        <v>2705540.5</v>
      </c>
      <c r="I647" s="140" t="s">
        <v>396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497553.65</v>
      </c>
      <c r="H648" s="104">
        <f>(J257+J338)-(J255+J336)</f>
        <v>497553.64999999997</v>
      </c>
      <c r="I648" s="140" t="s">
        <v>702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1290424.1300000001</v>
      </c>
      <c r="H649" s="104">
        <f>H598</f>
        <v>1290424.1299999999</v>
      </c>
      <c r="I649" s="140" t="s">
        <v>388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458141.48</v>
      </c>
      <c r="H650" s="104">
        <f>I598</f>
        <v>458141.48000000004</v>
      </c>
      <c r="I650" s="140" t="s">
        <v>389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956974.89</v>
      </c>
      <c r="H651" s="104">
        <f>J598</f>
        <v>956974.8899999999</v>
      </c>
      <c r="I651" s="140" t="s">
        <v>390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374.17</v>
      </c>
      <c r="H652" s="104">
        <f>K263+K345</f>
        <v>374.17</v>
      </c>
      <c r="I652" s="140" t="s">
        <v>397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30659166.220000003</v>
      </c>
      <c r="G660" s="19">
        <f>(L229+L309+L359)</f>
        <v>10958440.079999998</v>
      </c>
      <c r="H660" s="19">
        <f>(L247+L328+L360)</f>
        <v>20881469.040000003</v>
      </c>
      <c r="I660" s="19">
        <f>SUM(F660:H660)</f>
        <v>62499075.340000004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706398.98692940222</v>
      </c>
      <c r="G661" s="19">
        <f>(L359/IF(SUM(L358:L360)=0,1,SUM(L358:L360))*(SUM(G97:G110)))</f>
        <v>313245.41362144146</v>
      </c>
      <c r="H661" s="19">
        <f>(L360/IF(SUM(L358:L360)=0,1,SUM(L358:L360))*(SUM(G97:G110)))</f>
        <v>573286.87944915611</v>
      </c>
      <c r="I661" s="19">
        <f>SUM(F661:H661)</f>
        <v>1592931.2799999998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1293069.33</v>
      </c>
      <c r="G662" s="19">
        <f>(L226+L306)-(J226+J306)</f>
        <v>459040.85</v>
      </c>
      <c r="H662" s="19">
        <f>(L244+L325)-(J244+J325)</f>
        <v>958720.73</v>
      </c>
      <c r="I662" s="19">
        <f>SUM(F662:H662)</f>
        <v>2710830.91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645601.52</v>
      </c>
      <c r="G663" s="199">
        <f>SUM(G575:G587)+SUM(I602:I604)+L612</f>
        <v>363573.07</v>
      </c>
      <c r="H663" s="199">
        <f>SUM(H575:H587)+SUM(J602:J604)+L613</f>
        <v>1008747.69</v>
      </c>
      <c r="I663" s="19">
        <f>SUM(F663:H663)</f>
        <v>2017922.28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28014096.383070599</v>
      </c>
      <c r="G664" s="19">
        <f>G660-SUM(G661:G663)</f>
        <v>9822580.7463785559</v>
      </c>
      <c r="H664" s="19">
        <f>H660-SUM(H661:H663)</f>
        <v>18340713.740550846</v>
      </c>
      <c r="I664" s="19">
        <f>I660-SUM(I661:I663)</f>
        <v>56177390.870000005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2115.39</v>
      </c>
      <c r="G665" s="248">
        <v>766.85</v>
      </c>
      <c r="H665" s="248">
        <v>1494.68</v>
      </c>
      <c r="I665" s="19">
        <f>SUM(F665:H665)</f>
        <v>4376.92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13242.99</v>
      </c>
      <c r="G667" s="19">
        <f>ROUND(G664/G665,2)</f>
        <v>12809</v>
      </c>
      <c r="H667" s="19">
        <f>ROUND(H664/H665,2)</f>
        <v>12270.66</v>
      </c>
      <c r="I667" s="19">
        <f>ROUND(I664/I665,2)</f>
        <v>12834.91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-11.06</v>
      </c>
      <c r="I670" s="19">
        <f>SUM(F670:H670)</f>
        <v>-11.06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13242.99</v>
      </c>
      <c r="G672" s="19">
        <f>ROUND((G664+G669)/(G665+G670),2)</f>
        <v>12809</v>
      </c>
      <c r="H672" s="19">
        <f>ROUND((H664+H669)/(H665+H670),2)</f>
        <v>12362.14</v>
      </c>
      <c r="I672" s="19">
        <f>ROUND((I664+I669)/(I665+I670),2)</f>
        <v>12867.43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2" sqref="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Bedford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17409091.969999999</v>
      </c>
      <c r="C9" s="229">
        <f>'DOE25'!G197+'DOE25'!G215+'DOE25'!G233+'DOE25'!G276+'DOE25'!G295+'DOE25'!G314</f>
        <v>9322148.1400000006</v>
      </c>
    </row>
    <row r="10" spans="1:3" x14ac:dyDescent="0.2">
      <c r="A10" t="s">
        <v>778</v>
      </c>
      <c r="B10" s="240">
        <v>16627361.140000001</v>
      </c>
      <c r="C10" s="240">
        <v>8893217.7300000004</v>
      </c>
    </row>
    <row r="11" spans="1:3" x14ac:dyDescent="0.2">
      <c r="A11" t="s">
        <v>779</v>
      </c>
      <c r="B11" s="240">
        <v>569386.99</v>
      </c>
      <c r="C11" s="240">
        <f>304539.15+10818.22</f>
        <v>315357.37</v>
      </c>
    </row>
    <row r="12" spans="1:3" x14ac:dyDescent="0.2">
      <c r="A12" t="s">
        <v>780</v>
      </c>
      <c r="B12" s="240">
        <v>212343.84</v>
      </c>
      <c r="C12" s="240">
        <v>113573.04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17409091.969999999</v>
      </c>
      <c r="C13" s="231">
        <f>SUM(C10:C12)</f>
        <v>9322148.1399999987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6374599.6499999994</v>
      </c>
      <c r="C18" s="229">
        <f>'DOE25'!G198+'DOE25'!G216+'DOE25'!G234+'DOE25'!G277+'DOE25'!G296+'DOE25'!G315</f>
        <v>3155796.57</v>
      </c>
    </row>
    <row r="19" spans="1:3" x14ac:dyDescent="0.2">
      <c r="A19" t="s">
        <v>778</v>
      </c>
      <c r="B19" s="240">
        <v>4093581.33</v>
      </c>
      <c r="C19" s="240">
        <v>2026560.19</v>
      </c>
    </row>
    <row r="20" spans="1:3" x14ac:dyDescent="0.2">
      <c r="A20" t="s">
        <v>779</v>
      </c>
      <c r="B20" s="240">
        <v>2281018.3199999998</v>
      </c>
      <c r="C20" s="240">
        <v>1129236.3799999999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6374599.6500000004</v>
      </c>
      <c r="C22" s="231">
        <f>SUM(C19:C21)</f>
        <v>3155796.57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694417.74</v>
      </c>
      <c r="C36" s="235">
        <f>'DOE25'!G200+'DOE25'!G218+'DOE25'!G236+'DOE25'!G279+'DOE25'!G298+'DOE25'!G317</f>
        <v>375323.49</v>
      </c>
    </row>
    <row r="37" spans="1:3" x14ac:dyDescent="0.2">
      <c r="A37" t="s">
        <v>778</v>
      </c>
      <c r="B37" s="240">
        <v>583808.97</v>
      </c>
      <c r="C37" s="240">
        <v>315540.93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110608.77</v>
      </c>
      <c r="C39" s="240">
        <v>59782.559999999998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694417.74</v>
      </c>
      <c r="C40" s="231">
        <f>SUM(C37:C39)</f>
        <v>375323.49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26" activePane="bottomLeft" state="frozen"/>
      <selection activeCell="F46" sqref="F46"/>
      <selection pane="bottomLeft" sqref="A1:H5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Bedford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39348746.310000002</v>
      </c>
      <c r="D5" s="20">
        <f>SUM('DOE25'!L197:L200)+SUM('DOE25'!L215:L218)+SUM('DOE25'!L233:L236)-F5-G5</f>
        <v>39193835.510000005</v>
      </c>
      <c r="E5" s="243"/>
      <c r="F5" s="255">
        <f>SUM('DOE25'!J197:J200)+SUM('DOE25'!J215:J218)+SUM('DOE25'!J233:J236)</f>
        <v>77045.87</v>
      </c>
      <c r="G5" s="53">
        <f>SUM('DOE25'!K197:K200)+SUM('DOE25'!K215:K218)+SUM('DOE25'!K233:K236)</f>
        <v>77864.929999999993</v>
      </c>
      <c r="H5" s="259"/>
    </row>
    <row r="6" spans="1:9" x14ac:dyDescent="0.2">
      <c r="A6" s="32">
        <v>2100</v>
      </c>
      <c r="B6" t="s">
        <v>800</v>
      </c>
      <c r="C6" s="245">
        <f t="shared" si="0"/>
        <v>4008153.1500000004</v>
      </c>
      <c r="D6" s="20">
        <f>'DOE25'!L202+'DOE25'!L220+'DOE25'!L238-F6-G6</f>
        <v>4008153.1500000004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1612368.7300000002</v>
      </c>
      <c r="D7" s="20">
        <f>'DOE25'!L203+'DOE25'!L221+'DOE25'!L239-F7-G7</f>
        <v>1214357.9200000002</v>
      </c>
      <c r="E7" s="243"/>
      <c r="F7" s="255">
        <f>'DOE25'!J203+'DOE25'!J221+'DOE25'!J239</f>
        <v>358580.88</v>
      </c>
      <c r="G7" s="53">
        <f>'DOE25'!K203+'DOE25'!K221+'DOE25'!K239</f>
        <v>39429.93</v>
      </c>
      <c r="H7" s="259"/>
    </row>
    <row r="8" spans="1:9" x14ac:dyDescent="0.2">
      <c r="A8" s="32">
        <v>2300</v>
      </c>
      <c r="B8" t="s">
        <v>801</v>
      </c>
      <c r="C8" s="245">
        <f t="shared" si="0"/>
        <v>774844.5</v>
      </c>
      <c r="D8" s="243"/>
      <c r="E8" s="20">
        <f>'DOE25'!L204+'DOE25'!L222+'DOE25'!L240-F8-G8-D9-D11</f>
        <v>741522</v>
      </c>
      <c r="F8" s="255">
        <f>'DOE25'!J204+'DOE25'!J222+'DOE25'!J240</f>
        <v>13967.31</v>
      </c>
      <c r="G8" s="53">
        <f>'DOE25'!K204+'DOE25'!K222+'DOE25'!K240</f>
        <v>19355.190000000002</v>
      </c>
      <c r="H8" s="259"/>
    </row>
    <row r="9" spans="1:9" x14ac:dyDescent="0.2">
      <c r="A9" s="32">
        <v>2310</v>
      </c>
      <c r="B9" t="s">
        <v>817</v>
      </c>
      <c r="C9" s="245">
        <f t="shared" si="0"/>
        <v>19172.95</v>
      </c>
      <c r="D9" s="244">
        <v>19172.95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14036</v>
      </c>
      <c r="D10" s="243"/>
      <c r="E10" s="244">
        <v>14036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554247.49</v>
      </c>
      <c r="D11" s="244">
        <v>554247.49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4600024.4399999995</v>
      </c>
      <c r="D12" s="20">
        <f>'DOE25'!L205+'DOE25'!L223+'DOE25'!L241-F12-G12</f>
        <v>4532607.2299999995</v>
      </c>
      <c r="E12" s="243"/>
      <c r="F12" s="255">
        <f>'DOE25'!J205+'DOE25'!J223+'DOE25'!J241</f>
        <v>2275</v>
      </c>
      <c r="G12" s="53">
        <f>'DOE25'!K205+'DOE25'!K223+'DOE25'!K241</f>
        <v>65142.21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617249.81000000006</v>
      </c>
      <c r="D13" s="243"/>
      <c r="E13" s="20">
        <f>'DOE25'!L206+'DOE25'!L224+'DOE25'!L242-F13-G13</f>
        <v>612801.49000000011</v>
      </c>
      <c r="F13" s="255">
        <f>'DOE25'!J206+'DOE25'!J224+'DOE25'!J242</f>
        <v>0</v>
      </c>
      <c r="G13" s="53">
        <f>'DOE25'!K206+'DOE25'!K224+'DOE25'!K242</f>
        <v>4448.32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5404015.8200000003</v>
      </c>
      <c r="D14" s="20">
        <f>'DOE25'!L207+'DOE25'!L225+'DOE25'!L243-F14-G14</f>
        <v>5364180.9400000004</v>
      </c>
      <c r="E14" s="243"/>
      <c r="F14" s="255">
        <f>'DOE25'!J207+'DOE25'!J225+'DOE25'!J243</f>
        <v>38090.199999999997</v>
      </c>
      <c r="G14" s="53">
        <f>'DOE25'!K207+'DOE25'!K225+'DOE25'!K243</f>
        <v>1744.6799999999998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2705540.5</v>
      </c>
      <c r="D15" s="20">
        <f>'DOE25'!L208+'DOE25'!L226+'DOE25'!L244-F15-G15</f>
        <v>2705540.5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55784.289999999994</v>
      </c>
      <c r="D16" s="243"/>
      <c r="E16" s="20">
        <f>'DOE25'!L209+'DOE25'!L227+'DOE25'!L245-F16-G16</f>
        <v>55784.289999999994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3206.24</v>
      </c>
      <c r="D17" s="20">
        <f>'DOE25'!L251-F17-G17</f>
        <v>3206.24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3997912.5</v>
      </c>
      <c r="D25" s="243"/>
      <c r="E25" s="243"/>
      <c r="F25" s="258"/>
      <c r="G25" s="256"/>
      <c r="H25" s="257">
        <f>'DOE25'!L260+'DOE25'!L261+'DOE25'!L341+'DOE25'!L342</f>
        <v>3997912.5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798743.67000000027</v>
      </c>
      <c r="D29" s="20">
        <f>'DOE25'!L358+'DOE25'!L359+'DOE25'!L360-'DOE25'!I367-F29-G29</f>
        <v>774389.72000000032</v>
      </c>
      <c r="E29" s="243"/>
      <c r="F29" s="255">
        <f>'DOE25'!J358+'DOE25'!J359+'DOE25'!J360</f>
        <v>21122.98</v>
      </c>
      <c r="G29" s="53">
        <f>'DOE25'!K358+'DOE25'!K359+'DOE25'!K360</f>
        <v>3230.9700000000003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1142664.9899999998</v>
      </c>
      <c r="D31" s="20">
        <f>'DOE25'!L290+'DOE25'!L309+'DOE25'!L328+'DOE25'!L333+'DOE25'!L334+'DOE25'!L335-F31-G31</f>
        <v>1123288.9999999998</v>
      </c>
      <c r="E31" s="243"/>
      <c r="F31" s="255">
        <f>'DOE25'!J290+'DOE25'!J309+'DOE25'!J328+'DOE25'!J333+'DOE25'!J334+'DOE25'!J335</f>
        <v>7594.39</v>
      </c>
      <c r="G31" s="53">
        <f>'DOE25'!K290+'DOE25'!K309+'DOE25'!K328+'DOE25'!K333+'DOE25'!K334+'DOE25'!K335</f>
        <v>11781.6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59492980.650000006</v>
      </c>
      <c r="E33" s="246">
        <f>SUM(E5:E31)</f>
        <v>1424143.7800000003</v>
      </c>
      <c r="F33" s="246">
        <f>SUM(F5:F31)</f>
        <v>518676.63</v>
      </c>
      <c r="G33" s="246">
        <f>SUM(G5:G31)</f>
        <v>222997.83</v>
      </c>
      <c r="H33" s="246">
        <f>SUM(H5:H31)</f>
        <v>3997912.5</v>
      </c>
    </row>
    <row r="35" spans="2:8" ht="12" thickBot="1" x14ac:dyDescent="0.25">
      <c r="B35" s="253" t="s">
        <v>846</v>
      </c>
      <c r="D35" s="254">
        <f>E33</f>
        <v>1424143.7800000003</v>
      </c>
      <c r="E35" s="249"/>
    </row>
    <row r="36" spans="2:8" ht="12" thickTop="1" x14ac:dyDescent="0.2">
      <c r="B36" t="s">
        <v>814</v>
      </c>
      <c r="D36" s="20">
        <f>D33</f>
        <v>59492980.650000006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84" activePane="bottomLeft" state="frozen"/>
      <selection activeCell="F46" sqref="F46"/>
      <selection pane="bottomLeft" activeCell="C140" sqref="C14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Bedford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10077287.800000001</v>
      </c>
      <c r="D8" s="95">
        <f>'DOE25'!G9</f>
        <v>497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529480.73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147648.56</v>
      </c>
      <c r="D12" s="95">
        <f>'DOE25'!G13</f>
        <v>13662.22</v>
      </c>
      <c r="E12" s="95">
        <f>'DOE25'!H13</f>
        <v>297319.96999999997</v>
      </c>
      <c r="F12" s="95">
        <f>'DOE25'!I13</f>
        <v>0</v>
      </c>
      <c r="G12" s="95">
        <f>'DOE25'!J13</f>
        <v>491153.01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191940.36</v>
      </c>
      <c r="D13" s="95">
        <f>'DOE25'!G14</f>
        <v>1589.38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68507.08</v>
      </c>
      <c r="D16" s="95">
        <f>'DOE25'!G17</f>
        <v>6785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10485383.800000001</v>
      </c>
      <c r="D18" s="41">
        <f>SUM(D8:D17)</f>
        <v>552014.32999999996</v>
      </c>
      <c r="E18" s="41">
        <f>SUM(E8:E17)</f>
        <v>297319.96999999997</v>
      </c>
      <c r="F18" s="41">
        <f>SUM(F8:F17)</f>
        <v>0</v>
      </c>
      <c r="G18" s="41">
        <f>SUM(G8:G17)</f>
        <v>491153.01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306026.76</v>
      </c>
      <c r="D21" s="95">
        <f>'DOE25'!G22</f>
        <v>0</v>
      </c>
      <c r="E21" s="95">
        <f>'DOE25'!H22</f>
        <v>223453.97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388606.89</v>
      </c>
      <c r="D23" s="95">
        <f>'DOE25'!G24</f>
        <v>2497.06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2257688.2599999998</v>
      </c>
      <c r="D27" s="95">
        <f>'DOE25'!G28</f>
        <v>1149.54</v>
      </c>
      <c r="E27" s="95">
        <f>'DOE25'!H28</f>
        <v>56983.8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142083.5</v>
      </c>
      <c r="D29" s="95">
        <f>'DOE25'!G30</f>
        <v>81263.37</v>
      </c>
      <c r="E29" s="95">
        <f>'DOE25'!H30</f>
        <v>16882.2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3094405.4099999997</v>
      </c>
      <c r="D31" s="41">
        <f>SUM(D21:D30)</f>
        <v>84909.97</v>
      </c>
      <c r="E31" s="41">
        <f>SUM(E21:E30)</f>
        <v>297319.97000000003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68507</v>
      </c>
      <c r="D35" s="95">
        <f>'DOE25'!G36</f>
        <v>6785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491153.01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152222</v>
      </c>
      <c r="D48" s="95">
        <f>'DOE25'!G49</f>
        <v>460319.36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7170249.3899999997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7390978.3899999997</v>
      </c>
      <c r="D50" s="41">
        <f>SUM(D34:D49)</f>
        <v>467104.36</v>
      </c>
      <c r="E50" s="41">
        <f>SUM(E34:E49)</f>
        <v>0</v>
      </c>
      <c r="F50" s="41">
        <f>SUM(F34:F49)</f>
        <v>0</v>
      </c>
      <c r="G50" s="41">
        <f>SUM(G34:G49)</f>
        <v>491153.01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10485383.799999999</v>
      </c>
      <c r="D51" s="41">
        <f>D50+D31</f>
        <v>552014.32999999996</v>
      </c>
      <c r="E51" s="41">
        <f>E50+E31</f>
        <v>297319.97000000003</v>
      </c>
      <c r="F51" s="41">
        <f>F50+F31</f>
        <v>0</v>
      </c>
      <c r="G51" s="41">
        <f>G50+G31</f>
        <v>491153.01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43623214.990000002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790777.37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7849.08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15067.79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7573.44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1592931.28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548052.38</v>
      </c>
      <c r="D61" s="95">
        <f>SUM('DOE25'!G98:G110)</f>
        <v>0</v>
      </c>
      <c r="E61" s="95">
        <f>SUM('DOE25'!H98:H110)</f>
        <v>27157.37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1361746.62</v>
      </c>
      <c r="D62" s="130">
        <f>SUM(D57:D61)</f>
        <v>1592931.28</v>
      </c>
      <c r="E62" s="130">
        <f>SUM(E57:E61)</f>
        <v>27157.37</v>
      </c>
      <c r="F62" s="130">
        <f>SUM(F57:F61)</f>
        <v>0</v>
      </c>
      <c r="G62" s="130">
        <f>SUM(G57:G61)</f>
        <v>7573.44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44984961.609999999</v>
      </c>
      <c r="D63" s="22">
        <f>D56+D62</f>
        <v>1592931.28</v>
      </c>
      <c r="E63" s="22">
        <f>E56+E62</f>
        <v>27157.37</v>
      </c>
      <c r="F63" s="22">
        <f>F56+F62</f>
        <v>0</v>
      </c>
      <c r="G63" s="22">
        <f>G56+G62</f>
        <v>7573.44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8669462.4900000002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8285871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4302050.5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21257383.990000002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885227.5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444922.8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7098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21582.76</v>
      </c>
      <c r="E77" s="95">
        <f>SUM('DOE25'!H131:H135)</f>
        <v>5708.36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1337248.3</v>
      </c>
      <c r="D78" s="130">
        <f>SUM(D72:D77)</f>
        <v>21582.76</v>
      </c>
      <c r="E78" s="130">
        <f>SUM(E72:E77)</f>
        <v>5708.36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22594632.290000003</v>
      </c>
      <c r="D81" s="130">
        <f>SUM(D79:D80)+D78+D70</f>
        <v>21582.76</v>
      </c>
      <c r="E81" s="130">
        <f>SUM(E79:E80)+E78+E70</f>
        <v>5708.36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390688.3</v>
      </c>
      <c r="D88" s="95">
        <f>SUM('DOE25'!G153:G161)</f>
        <v>223212.66</v>
      </c>
      <c r="E88" s="95">
        <f>SUM('DOE25'!H153:H161)</f>
        <v>1109799.26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390688.3</v>
      </c>
      <c r="D91" s="131">
        <f>SUM(D85:D90)</f>
        <v>223212.66</v>
      </c>
      <c r="E91" s="131">
        <f>SUM(E85:E90)</f>
        <v>1109799.26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374.17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1493.36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1493.36</v>
      </c>
      <c r="D103" s="86">
        <f>SUM(D93:D102)</f>
        <v>374.17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67971775.560000002</v>
      </c>
      <c r="D104" s="86">
        <f>D63+D81+D91+D103</f>
        <v>1838100.8699999999</v>
      </c>
      <c r="E104" s="86">
        <f>E63+E81+E91+E103</f>
        <v>1142664.99</v>
      </c>
      <c r="F104" s="86">
        <f>F63+F81+F91+F103</f>
        <v>0</v>
      </c>
      <c r="G104" s="86">
        <f>G63+G81+G103</f>
        <v>7573.44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27579190.039999999</v>
      </c>
      <c r="D109" s="24" t="s">
        <v>288</v>
      </c>
      <c r="E109" s="95">
        <f>('DOE25'!L276)+('DOE25'!L295)+('DOE25'!L314)</f>
        <v>192231.06999999998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10413897.57</v>
      </c>
      <c r="D110" s="24" t="s">
        <v>288</v>
      </c>
      <c r="E110" s="95">
        <f>('DOE25'!L277)+('DOE25'!L296)+('DOE25'!L315)</f>
        <v>714747.71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49089.38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1306569.3199999998</v>
      </c>
      <c r="D112" s="24" t="s">
        <v>288</v>
      </c>
      <c r="E112" s="95">
        <f>+('DOE25'!L279)+('DOE25'!L298)+('DOE25'!L317)</f>
        <v>21407.379999999997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3206.24</v>
      </c>
      <c r="D114" s="24" t="s">
        <v>288</v>
      </c>
      <c r="E114" s="95">
        <f>+ SUM('DOE25'!L333:L335)</f>
        <v>6033.9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39351952.550000004</v>
      </c>
      <c r="D115" s="86">
        <f>SUM(D109:D114)</f>
        <v>0</v>
      </c>
      <c r="E115" s="86">
        <f>SUM(E109:E114)</f>
        <v>934420.05999999994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4008153.1500000004</v>
      </c>
      <c r="D118" s="24" t="s">
        <v>288</v>
      </c>
      <c r="E118" s="95">
        <f>+('DOE25'!L281)+('DOE25'!L300)+('DOE25'!L319)</f>
        <v>148311.04000000001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1612368.73</v>
      </c>
      <c r="D119" s="24" t="s">
        <v>288</v>
      </c>
      <c r="E119" s="95">
        <f>+('DOE25'!L282)+('DOE25'!L301)+('DOE25'!L320)</f>
        <v>44769.84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1348264.94</v>
      </c>
      <c r="D120" s="24" t="s">
        <v>288</v>
      </c>
      <c r="E120" s="95">
        <f>+('DOE25'!L283)+('DOE25'!L302)+('DOE25'!L321)</f>
        <v>9873.64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4600024.4399999995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617249.81000000006</v>
      </c>
      <c r="D122" s="24" t="s">
        <v>288</v>
      </c>
      <c r="E122" s="95">
        <f>+('DOE25'!L285)+('DOE25'!L304)+('DOE25'!L323)</f>
        <v>0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5404015.8200000003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2705540.5</v>
      </c>
      <c r="D124" s="24" t="s">
        <v>288</v>
      </c>
      <c r="E124" s="95">
        <f>+('DOE25'!L287)+('DOE25'!L306)+('DOE25'!L325)</f>
        <v>5290.41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55784.289999999994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1662296.2600000002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20351401.68</v>
      </c>
      <c r="D128" s="86">
        <f>SUM(D118:D127)</f>
        <v>1662296.2600000002</v>
      </c>
      <c r="E128" s="86">
        <f>SUM(E118:E127)</f>
        <v>208244.93000000002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2665000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1332912.5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1493.36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374.17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7573.44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-7573.44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3998286.67</v>
      </c>
      <c r="D144" s="141">
        <f>SUM(D130:D143)</f>
        <v>1493.36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63701640.900000006</v>
      </c>
      <c r="D145" s="86">
        <f>(D115+D128+D144)</f>
        <v>1663789.6200000003</v>
      </c>
      <c r="E145" s="86">
        <f>(E115+E128+E144)</f>
        <v>1142664.99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20</v>
      </c>
      <c r="D151" s="153">
        <f>'DOE25'!H490</f>
        <v>10</v>
      </c>
      <c r="E151" s="153">
        <f>'DOE25'!I490</f>
        <v>15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8/08</v>
      </c>
      <c r="C152" s="152" t="str">
        <f>'DOE25'!G491</f>
        <v>6/06</v>
      </c>
      <c r="D152" s="152" t="str">
        <f>'DOE25'!H491</f>
        <v>8/07</v>
      </c>
      <c r="E152" s="152" t="str">
        <f>'DOE25'!I491</f>
        <v>11/14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8/18</v>
      </c>
      <c r="C153" s="152" t="str">
        <f>'DOE25'!G492</f>
        <v>7/26</v>
      </c>
      <c r="D153" s="152" t="str">
        <f>'DOE25'!H492</f>
        <v>8/17</v>
      </c>
      <c r="E153" s="152" t="str">
        <f>'DOE25'!I492</f>
        <v>7/29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3935000</v>
      </c>
      <c r="C154" s="137">
        <f>'DOE25'!G493</f>
        <v>800000</v>
      </c>
      <c r="D154" s="137">
        <f>'DOE25'!H493</f>
        <v>2681350</v>
      </c>
      <c r="E154" s="137">
        <f>'DOE25'!I493</f>
        <v>32715000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3.34</v>
      </c>
      <c r="C155" s="137">
        <f>'DOE25'!G494</f>
        <v>4.5199999999999996</v>
      </c>
      <c r="D155" s="137">
        <f>'DOE25'!H494</f>
        <v>4.28</v>
      </c>
      <c r="E155" s="137">
        <f>'DOE25'!I494</f>
        <v>2.63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1155000</v>
      </c>
      <c r="C156" s="137">
        <f>'DOE25'!G495</f>
        <v>440000</v>
      </c>
      <c r="D156" s="137">
        <f>'DOE25'!H495</f>
        <v>530000</v>
      </c>
      <c r="E156" s="137">
        <f>'DOE25'!I495</f>
        <v>30090000</v>
      </c>
      <c r="F156" s="137">
        <f>'DOE25'!J495</f>
        <v>0</v>
      </c>
      <c r="G156" s="138">
        <f>SUM(B156:F156)</f>
        <v>32215000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390000</v>
      </c>
      <c r="C158" s="137">
        <f>'DOE25'!G497</f>
        <v>40000</v>
      </c>
      <c r="D158" s="137">
        <f>'DOE25'!H497</f>
        <v>265000</v>
      </c>
      <c r="E158" s="137">
        <f>'DOE25'!I497</f>
        <v>1970000</v>
      </c>
      <c r="F158" s="137">
        <f>'DOE25'!J497</f>
        <v>0</v>
      </c>
      <c r="G158" s="138">
        <f t="shared" si="0"/>
        <v>2665000</v>
      </c>
    </row>
    <row r="159" spans="1:9" x14ac:dyDescent="0.2">
      <c r="A159" s="22" t="s">
        <v>35</v>
      </c>
      <c r="B159" s="137">
        <f>'DOE25'!F498</f>
        <v>765000</v>
      </c>
      <c r="C159" s="137">
        <f>'DOE25'!G498</f>
        <v>400000</v>
      </c>
      <c r="D159" s="137">
        <f>'DOE25'!H498</f>
        <v>265000</v>
      </c>
      <c r="E159" s="137">
        <f>'DOE25'!I498</f>
        <v>28120000</v>
      </c>
      <c r="F159" s="137">
        <f>'DOE25'!J498</f>
        <v>0</v>
      </c>
      <c r="G159" s="138">
        <f t="shared" si="0"/>
        <v>29550000</v>
      </c>
    </row>
    <row r="160" spans="1:9" x14ac:dyDescent="0.2">
      <c r="A160" s="22" t="s">
        <v>36</v>
      </c>
      <c r="B160" s="137">
        <f>'DOE25'!F499</f>
        <v>32344</v>
      </c>
      <c r="C160" s="137">
        <f>'DOE25'!G499</f>
        <v>91355</v>
      </c>
      <c r="D160" s="137">
        <f>'DOE25'!H499</f>
        <v>6625</v>
      </c>
      <c r="E160" s="137">
        <f>'DOE25'!I499</f>
        <v>9370275</v>
      </c>
      <c r="F160" s="137">
        <f>'DOE25'!J499</f>
        <v>0</v>
      </c>
      <c r="G160" s="138">
        <f t="shared" si="0"/>
        <v>9500599</v>
      </c>
    </row>
    <row r="161" spans="1:7" x14ac:dyDescent="0.2">
      <c r="A161" s="22" t="s">
        <v>37</v>
      </c>
      <c r="B161" s="137">
        <f>'DOE25'!F500</f>
        <v>797344</v>
      </c>
      <c r="C161" s="137">
        <f>'DOE25'!G500</f>
        <v>491355</v>
      </c>
      <c r="D161" s="137">
        <f>'DOE25'!H500</f>
        <v>271625</v>
      </c>
      <c r="E161" s="137">
        <f>'DOE25'!I500</f>
        <v>37490275</v>
      </c>
      <c r="F161" s="137">
        <f>'DOE25'!J500</f>
        <v>0</v>
      </c>
      <c r="G161" s="138">
        <f t="shared" si="0"/>
        <v>39050599</v>
      </c>
    </row>
    <row r="162" spans="1:7" x14ac:dyDescent="0.2">
      <c r="A162" s="22" t="s">
        <v>38</v>
      </c>
      <c r="B162" s="137">
        <f>'DOE25'!F501</f>
        <v>385000</v>
      </c>
      <c r="C162" s="137">
        <f>'DOE25'!G501</f>
        <v>40000</v>
      </c>
      <c r="D162" s="137">
        <f>'DOE25'!H501</f>
        <v>265000</v>
      </c>
      <c r="E162" s="137">
        <f>'DOE25'!I501</f>
        <v>1880000</v>
      </c>
      <c r="F162" s="137">
        <f>'DOE25'!J501</f>
        <v>0</v>
      </c>
      <c r="G162" s="138">
        <f t="shared" si="0"/>
        <v>2570000</v>
      </c>
    </row>
    <row r="163" spans="1:7" x14ac:dyDescent="0.2">
      <c r="A163" s="22" t="s">
        <v>39</v>
      </c>
      <c r="B163" s="137">
        <f>'DOE25'!F502</f>
        <v>23969</v>
      </c>
      <c r="C163" s="137">
        <f>'DOE25'!G502</f>
        <v>17190</v>
      </c>
      <c r="D163" s="137">
        <f>'DOE25'!H502</f>
        <v>6625</v>
      </c>
      <c r="E163" s="137">
        <f>'DOE25'!I502</f>
        <v>1214650</v>
      </c>
      <c r="F163" s="137">
        <f>'DOE25'!J502</f>
        <v>0</v>
      </c>
      <c r="G163" s="138">
        <f t="shared" si="0"/>
        <v>1262434</v>
      </c>
    </row>
    <row r="164" spans="1:7" x14ac:dyDescent="0.2">
      <c r="A164" s="22" t="s">
        <v>246</v>
      </c>
      <c r="B164" s="137">
        <f>'DOE25'!F503</f>
        <v>408969</v>
      </c>
      <c r="C164" s="137">
        <f>'DOE25'!G503</f>
        <v>57190</v>
      </c>
      <c r="D164" s="137">
        <f>'DOE25'!H503</f>
        <v>271625</v>
      </c>
      <c r="E164" s="137">
        <f>'DOE25'!I503</f>
        <v>3094650</v>
      </c>
      <c r="F164" s="137">
        <f>'DOE25'!J503</f>
        <v>0</v>
      </c>
      <c r="G164" s="138">
        <f t="shared" si="0"/>
        <v>3832434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Bedford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13243</v>
      </c>
    </row>
    <row r="5" spans="1:4" x14ac:dyDescent="0.2">
      <c r="B5" t="s">
        <v>703</v>
      </c>
      <c r="C5" s="179">
        <f>IF('DOE25'!G665+'DOE25'!G670=0,0,ROUND('DOE25'!G672,0))</f>
        <v>12809</v>
      </c>
    </row>
    <row r="6" spans="1:4" x14ac:dyDescent="0.2">
      <c r="B6" t="s">
        <v>62</v>
      </c>
      <c r="C6" s="179">
        <f>IF('DOE25'!H665+'DOE25'!H670=0,0,ROUND('DOE25'!H672,0))</f>
        <v>12362</v>
      </c>
    </row>
    <row r="7" spans="1:4" x14ac:dyDescent="0.2">
      <c r="B7" t="s">
        <v>704</v>
      </c>
      <c r="C7" s="179">
        <f>IF('DOE25'!I665+'DOE25'!I670=0,0,ROUND('DOE25'!I672,0))</f>
        <v>12867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27771421</v>
      </c>
      <c r="D10" s="182">
        <f>ROUND((C10/$C$28)*100,1)</f>
        <v>44.6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11128645</v>
      </c>
      <c r="D11" s="182">
        <f>ROUND((C11/$C$28)*100,1)</f>
        <v>17.899999999999999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49089</v>
      </c>
      <c r="D12" s="182">
        <f>ROUND((C12/$C$28)*100,1)</f>
        <v>0.1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1327977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4156464</v>
      </c>
      <c r="D15" s="182">
        <f t="shared" ref="D15:D27" si="0">ROUND((C15/$C$28)*100,1)</f>
        <v>6.7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1657139</v>
      </c>
      <c r="D16" s="182">
        <f t="shared" si="0"/>
        <v>2.7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1413923</v>
      </c>
      <c r="D17" s="182">
        <f t="shared" si="0"/>
        <v>2.2999999999999998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4600024</v>
      </c>
      <c r="D18" s="182">
        <f t="shared" si="0"/>
        <v>7.4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617250</v>
      </c>
      <c r="D19" s="182">
        <f t="shared" si="0"/>
        <v>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5404016</v>
      </c>
      <c r="D20" s="182">
        <f t="shared" si="0"/>
        <v>8.6999999999999993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2710831</v>
      </c>
      <c r="D21" s="182">
        <f t="shared" si="0"/>
        <v>4.4000000000000004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9240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1332913</v>
      </c>
      <c r="D25" s="182">
        <f t="shared" si="0"/>
        <v>2.1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69364.719999999972</v>
      </c>
      <c r="D27" s="182">
        <f t="shared" si="0"/>
        <v>0.1</v>
      </c>
    </row>
    <row r="28" spans="1:4" x14ac:dyDescent="0.2">
      <c r="B28" s="187" t="s">
        <v>722</v>
      </c>
      <c r="C28" s="180">
        <f>SUM(C10:C27)</f>
        <v>62248296.719999999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728</v>
      </c>
      <c r="C30" s="180">
        <f>SUM(C28:C29)</f>
        <v>62248296.719999999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2665000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43623215</v>
      </c>
      <c r="D35" s="182">
        <f t="shared" ref="D35:D40" si="1">ROUND((C35/$C$41)*100,1)</f>
        <v>62.9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1396477.4199999943</v>
      </c>
      <c r="D36" s="182">
        <f t="shared" si="1"/>
        <v>2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16955333</v>
      </c>
      <c r="D37" s="182">
        <f t="shared" si="1"/>
        <v>24.4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5666590</v>
      </c>
      <c r="D38" s="182">
        <f t="shared" si="1"/>
        <v>8.1999999999999993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1723700</v>
      </c>
      <c r="D39" s="182">
        <f t="shared" si="1"/>
        <v>2.5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69365315.419999987</v>
      </c>
      <c r="D41" s="184">
        <f>SUM(D35:D40)</f>
        <v>100.00000000000001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Bedford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2017-10-20T15:05:25Z</cp:lastPrinted>
  <dcterms:created xsi:type="dcterms:W3CDTF">1997-12-04T19:04:30Z</dcterms:created>
  <dcterms:modified xsi:type="dcterms:W3CDTF">2017-11-29T17:11:00Z</dcterms:modified>
</cp:coreProperties>
</file>