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B19" i="12"/>
  <c r="J591" i="1" l="1"/>
  <c r="I591" i="1"/>
  <c r="H591" i="1"/>
  <c r="I597" i="1"/>
  <c r="H597" i="1"/>
  <c r="J595" i="1"/>
  <c r="I595" i="1"/>
  <c r="H595" i="1"/>
  <c r="J594" i="1"/>
  <c r="I594" i="1"/>
  <c r="H594" i="1"/>
  <c r="J592" i="1"/>
  <c r="I592" i="1"/>
  <c r="H592" i="1"/>
  <c r="J604" i="1"/>
  <c r="I604" i="1"/>
  <c r="H604" i="1"/>
  <c r="H559" i="1" l="1"/>
  <c r="G558" i="1"/>
  <c r="F558" i="1"/>
  <c r="K557" i="1"/>
  <c r="J557" i="1"/>
  <c r="I557" i="1"/>
  <c r="H557" i="1"/>
  <c r="G557" i="1"/>
  <c r="F557" i="1"/>
  <c r="H582" i="1"/>
  <c r="H578" i="1"/>
  <c r="G582" i="1"/>
  <c r="G578" i="1"/>
  <c r="F582" i="1"/>
  <c r="H580" i="1"/>
  <c r="H579" i="1"/>
  <c r="G526" i="1" l="1"/>
  <c r="F526" i="1"/>
  <c r="J521" i="1"/>
  <c r="G528" i="1"/>
  <c r="G527" i="1"/>
  <c r="F528" i="1"/>
  <c r="F527" i="1"/>
  <c r="J523" i="1"/>
  <c r="J522" i="1"/>
  <c r="H523" i="1"/>
  <c r="H522" i="1"/>
  <c r="H521" i="1"/>
  <c r="G523" i="1"/>
  <c r="G522" i="1"/>
  <c r="G521" i="1"/>
  <c r="F523" i="1"/>
  <c r="F522" i="1"/>
  <c r="F521" i="1"/>
  <c r="G543" i="1"/>
  <c r="F543" i="1"/>
  <c r="I523" i="1"/>
  <c r="G542" i="1"/>
  <c r="F542" i="1"/>
  <c r="I522" i="1"/>
  <c r="H526" i="1"/>
  <c r="G541" i="1"/>
  <c r="F541" i="1"/>
  <c r="I521" i="1"/>
  <c r="K533" i="1"/>
  <c r="K532" i="1"/>
  <c r="K531" i="1"/>
  <c r="J533" i="1"/>
  <c r="J532" i="1"/>
  <c r="J531" i="1"/>
  <c r="I533" i="1"/>
  <c r="I532" i="1"/>
  <c r="I531" i="1"/>
  <c r="H533" i="1"/>
  <c r="H532" i="1"/>
  <c r="H531" i="1"/>
  <c r="G533" i="1"/>
  <c r="G532" i="1"/>
  <c r="G531" i="1"/>
  <c r="F533" i="1"/>
  <c r="F532" i="1"/>
  <c r="F531" i="1"/>
  <c r="H527" i="1"/>
  <c r="H528" i="1"/>
  <c r="I528" i="1"/>
  <c r="I527" i="1"/>
  <c r="I526" i="1"/>
  <c r="H298" i="1" l="1"/>
  <c r="H279" i="1"/>
  <c r="I298" i="1"/>
  <c r="I279" i="1"/>
  <c r="K350" i="1" l="1"/>
  <c r="H306" i="1"/>
  <c r="H287" i="1"/>
  <c r="G298" i="1"/>
  <c r="F298" i="1"/>
  <c r="G279" i="1"/>
  <c r="F279" i="1"/>
  <c r="I243" i="1" l="1"/>
  <c r="H242" i="1"/>
  <c r="H236" i="1"/>
  <c r="I225" i="1"/>
  <c r="H224" i="1"/>
  <c r="H218" i="1"/>
  <c r="I207" i="1"/>
  <c r="H206" i="1"/>
  <c r="H200" i="1"/>
  <c r="G197" i="1"/>
  <c r="G245" i="1"/>
  <c r="G244" i="1"/>
  <c r="G243" i="1"/>
  <c r="G242" i="1"/>
  <c r="G241" i="1"/>
  <c r="G240" i="1"/>
  <c r="G239" i="1"/>
  <c r="G238" i="1"/>
  <c r="G236" i="1"/>
  <c r="G235" i="1"/>
  <c r="G234" i="1"/>
  <c r="G233" i="1"/>
  <c r="G227" i="1"/>
  <c r="G226" i="1"/>
  <c r="G225" i="1"/>
  <c r="G224" i="1"/>
  <c r="G223" i="1"/>
  <c r="G222" i="1"/>
  <c r="G221" i="1"/>
  <c r="G220" i="1"/>
  <c r="G218" i="1"/>
  <c r="G216" i="1"/>
  <c r="G215" i="1"/>
  <c r="G209" i="1"/>
  <c r="G208" i="1"/>
  <c r="G207" i="1"/>
  <c r="G206" i="1"/>
  <c r="G205" i="1"/>
  <c r="G204" i="1"/>
  <c r="G203" i="1"/>
  <c r="G202" i="1"/>
  <c r="G200" i="1"/>
  <c r="G198" i="1"/>
  <c r="F240" i="1" l="1"/>
  <c r="F238" i="1"/>
  <c r="F233" i="1"/>
  <c r="F222" i="1"/>
  <c r="F220" i="1"/>
  <c r="F215" i="1"/>
  <c r="F204" i="1"/>
  <c r="F202" i="1"/>
  <c r="F197" i="1"/>
  <c r="F205" i="1"/>
  <c r="F239" i="1"/>
  <c r="F235" i="1"/>
  <c r="H367" i="1"/>
  <c r="G367" i="1"/>
  <c r="F367" i="1"/>
  <c r="H368" i="1"/>
  <c r="G368" i="1"/>
  <c r="F368" i="1"/>
  <c r="H360" i="1"/>
  <c r="H359" i="1"/>
  <c r="H358" i="1"/>
  <c r="G358" i="1"/>
  <c r="F358" i="1"/>
  <c r="K360" i="1"/>
  <c r="K359" i="1"/>
  <c r="K358" i="1"/>
  <c r="J360" i="1"/>
  <c r="J359" i="1"/>
  <c r="J358" i="1"/>
  <c r="I360" i="1"/>
  <c r="I359" i="1"/>
  <c r="I358" i="1"/>
  <c r="G360" i="1"/>
  <c r="G359" i="1"/>
  <c r="F360" i="1"/>
  <c r="F359" i="1"/>
  <c r="I320" i="1" l="1"/>
  <c r="H320" i="1"/>
  <c r="F319" i="1"/>
  <c r="J319" i="1"/>
  <c r="I319" i="1"/>
  <c r="H319" i="1"/>
  <c r="G319" i="1"/>
  <c r="K316" i="1"/>
  <c r="J316" i="1"/>
  <c r="I316" i="1"/>
  <c r="H316" i="1"/>
  <c r="H315" i="1"/>
  <c r="J233" i="1"/>
  <c r="F314" i="1"/>
  <c r="H301" i="1"/>
  <c r="J295" i="1"/>
  <c r="I295" i="1"/>
  <c r="J215" i="1"/>
  <c r="I215" i="1"/>
  <c r="G295" i="1"/>
  <c r="F295" i="1"/>
  <c r="G281" i="1"/>
  <c r="F281" i="1"/>
  <c r="K277" i="1"/>
  <c r="H282" i="1"/>
  <c r="K321" i="1"/>
  <c r="J321" i="1"/>
  <c r="I321" i="1"/>
  <c r="H321" i="1"/>
  <c r="G321" i="1"/>
  <c r="F321" i="1"/>
  <c r="J315" i="1"/>
  <c r="G315" i="1"/>
  <c r="F315" i="1"/>
  <c r="K302" i="1"/>
  <c r="J302" i="1"/>
  <c r="I302" i="1"/>
  <c r="H302" i="1"/>
  <c r="G302" i="1"/>
  <c r="F302" i="1"/>
  <c r="G300" i="1"/>
  <c r="F300" i="1"/>
  <c r="H300" i="1"/>
  <c r="J296" i="1"/>
  <c r="H296" i="1"/>
  <c r="G296" i="1"/>
  <c r="F296" i="1"/>
  <c r="J277" i="1"/>
  <c r="I277" i="1"/>
  <c r="H277" i="1"/>
  <c r="G277" i="1"/>
  <c r="F277" i="1"/>
  <c r="J198" i="1"/>
  <c r="I197" i="1"/>
  <c r="H197" i="1"/>
  <c r="K276" i="1"/>
  <c r="J276" i="1"/>
  <c r="I276" i="1"/>
  <c r="H276" i="1"/>
  <c r="G276" i="1"/>
  <c r="F276" i="1"/>
  <c r="K283" i="1"/>
  <c r="J283" i="1" l="1"/>
  <c r="I283" i="1"/>
  <c r="H283" i="1"/>
  <c r="G283" i="1"/>
  <c r="F283" i="1"/>
  <c r="H281" i="1"/>
  <c r="F244" i="1" l="1"/>
  <c r="H243" i="1"/>
  <c r="F243" i="1"/>
  <c r="K241" i="1"/>
  <c r="J241" i="1"/>
  <c r="I241" i="1"/>
  <c r="H241" i="1"/>
  <c r="F241" i="1"/>
  <c r="K240" i="1"/>
  <c r="H240" i="1"/>
  <c r="J239" i="1"/>
  <c r="I239" i="1"/>
  <c r="H239" i="1"/>
  <c r="I238" i="1"/>
  <c r="H238" i="1"/>
  <c r="K238" i="1"/>
  <c r="J238" i="1"/>
  <c r="K236" i="1"/>
  <c r="J236" i="1"/>
  <c r="I236" i="1"/>
  <c r="F236" i="1"/>
  <c r="J235" i="1"/>
  <c r="I235" i="1"/>
  <c r="H235" i="1"/>
  <c r="F234" i="1"/>
  <c r="H234" i="1"/>
  <c r="I234" i="1"/>
  <c r="K233" i="1"/>
  <c r="I233" i="1"/>
  <c r="H233" i="1"/>
  <c r="F226" i="1"/>
  <c r="H225" i="1"/>
  <c r="F225" i="1"/>
  <c r="K223" i="1"/>
  <c r="J223" i="1"/>
  <c r="I223" i="1"/>
  <c r="H223" i="1"/>
  <c r="F223" i="1"/>
  <c r="K221" i="1"/>
  <c r="I221" i="1"/>
  <c r="H221" i="1"/>
  <c r="F221" i="1"/>
  <c r="K220" i="1"/>
  <c r="I220" i="1"/>
  <c r="H220" i="1"/>
  <c r="K218" i="1"/>
  <c r="I218" i="1"/>
  <c r="F218" i="1"/>
  <c r="F216" i="1"/>
  <c r="I216" i="1"/>
  <c r="H216" i="1"/>
  <c r="K215" i="1"/>
  <c r="H215" i="1"/>
  <c r="H202" i="1"/>
  <c r="H198" i="1"/>
  <c r="F198" i="1"/>
  <c r="F208" i="1"/>
  <c r="H207" i="1"/>
  <c r="F207" i="1"/>
  <c r="K205" i="1"/>
  <c r="I205" i="1"/>
  <c r="H205" i="1"/>
  <c r="I203" i="1"/>
  <c r="F203" i="1"/>
  <c r="H203" i="1"/>
  <c r="K202" i="1"/>
  <c r="I202" i="1"/>
  <c r="K200" i="1"/>
  <c r="I200" i="1"/>
  <c r="F200" i="1"/>
  <c r="I198" i="1"/>
  <c r="J197" i="1"/>
  <c r="F245" i="1" l="1"/>
  <c r="K244" i="1"/>
  <c r="J244" i="1"/>
  <c r="I244" i="1"/>
  <c r="H244" i="1"/>
  <c r="J243" i="1"/>
  <c r="K242" i="1"/>
  <c r="F242" i="1"/>
  <c r="J240" i="1"/>
  <c r="I240" i="1"/>
  <c r="F227" i="1"/>
  <c r="K226" i="1"/>
  <c r="J226" i="1"/>
  <c r="I226" i="1"/>
  <c r="H226" i="1"/>
  <c r="J225" i="1"/>
  <c r="K224" i="1"/>
  <c r="F224" i="1"/>
  <c r="K222" i="1"/>
  <c r="J222" i="1"/>
  <c r="I222" i="1"/>
  <c r="H222" i="1"/>
  <c r="F209" i="1" l="1"/>
  <c r="J208" i="1"/>
  <c r="I208" i="1"/>
  <c r="H208" i="1"/>
  <c r="J207" i="1"/>
  <c r="K206" i="1"/>
  <c r="F206" i="1"/>
  <c r="K204" i="1"/>
  <c r="J204" i="1"/>
  <c r="I204" i="1"/>
  <c r="H204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E124" i="2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C143" i="2" s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3" i="2"/>
  <c r="E113" i="2"/>
  <c r="E114" i="2"/>
  <c r="D115" i="2"/>
  <c r="F115" i="2"/>
  <c r="G115" i="2"/>
  <c r="E119" i="2"/>
  <c r="E120" i="2"/>
  <c r="E122" i="2"/>
  <c r="E123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J645" i="1" s="1"/>
  <c r="H407" i="1"/>
  <c r="I407" i="1"/>
  <c r="F408" i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H461" i="1" s="1"/>
  <c r="H641" i="1" s="1"/>
  <c r="F461" i="1"/>
  <c r="G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G643" i="1"/>
  <c r="J643" i="1" s="1"/>
  <c r="H643" i="1"/>
  <c r="G644" i="1"/>
  <c r="H644" i="1"/>
  <c r="G645" i="1"/>
  <c r="G652" i="1"/>
  <c r="H652" i="1"/>
  <c r="G653" i="1"/>
  <c r="H653" i="1"/>
  <c r="G654" i="1"/>
  <c r="H654" i="1"/>
  <c r="H655" i="1"/>
  <c r="C26" i="10"/>
  <c r="D18" i="2"/>
  <c r="D50" i="2"/>
  <c r="F18" i="2"/>
  <c r="E103" i="2"/>
  <c r="G62" i="2"/>
  <c r="J617" i="1"/>
  <c r="E78" i="2"/>
  <c r="H112" i="1"/>
  <c r="J639" i="1"/>
  <c r="L433" i="1"/>
  <c r="I169" i="1"/>
  <c r="J644" i="1"/>
  <c r="J476" i="1"/>
  <c r="H626" i="1" s="1"/>
  <c r="I476" i="1"/>
  <c r="H625" i="1" s="1"/>
  <c r="J625" i="1" s="1"/>
  <c r="J140" i="1"/>
  <c r="G22" i="2"/>
  <c r="H140" i="1"/>
  <c r="J640" i="1"/>
  <c r="H571" i="1"/>
  <c r="G192" i="1"/>
  <c r="H192" i="1"/>
  <c r="J636" i="1"/>
  <c r="L565" i="1"/>
  <c r="A13" i="12" l="1"/>
  <c r="K598" i="1"/>
  <c r="G647" i="1" s="1"/>
  <c r="F476" i="1"/>
  <c r="H622" i="1" s="1"/>
  <c r="J622" i="1" s="1"/>
  <c r="L560" i="1"/>
  <c r="J545" i="1"/>
  <c r="J552" i="1"/>
  <c r="K549" i="1"/>
  <c r="H552" i="1"/>
  <c r="G545" i="1"/>
  <c r="I545" i="1"/>
  <c r="L529" i="1"/>
  <c r="G552" i="1"/>
  <c r="H545" i="1"/>
  <c r="F552" i="1"/>
  <c r="L351" i="1"/>
  <c r="E112" i="2"/>
  <c r="F338" i="1"/>
  <c r="F352" i="1" s="1"/>
  <c r="H476" i="1"/>
  <c r="H624" i="1" s="1"/>
  <c r="G476" i="1"/>
  <c r="H623" i="1" s="1"/>
  <c r="J623" i="1" s="1"/>
  <c r="C122" i="2"/>
  <c r="G164" i="2"/>
  <c r="K503" i="1"/>
  <c r="G161" i="2"/>
  <c r="J634" i="1"/>
  <c r="F661" i="1"/>
  <c r="H661" i="1"/>
  <c r="E62" i="2"/>
  <c r="E63" i="2" s="1"/>
  <c r="C91" i="2"/>
  <c r="C78" i="2"/>
  <c r="C81" i="2" s="1"/>
  <c r="F112" i="1"/>
  <c r="C57" i="2"/>
  <c r="C62" i="2" s="1"/>
  <c r="C63" i="2" s="1"/>
  <c r="L328" i="1"/>
  <c r="G662" i="1"/>
  <c r="L309" i="1"/>
  <c r="E118" i="2"/>
  <c r="E128" i="2" s="1"/>
  <c r="H338" i="1"/>
  <c r="H352" i="1" s="1"/>
  <c r="G338" i="1"/>
  <c r="G352" i="1" s="1"/>
  <c r="K338" i="1"/>
  <c r="K352" i="1" s="1"/>
  <c r="L290" i="1"/>
  <c r="C111" i="2"/>
  <c r="A31" i="12"/>
  <c r="G650" i="1"/>
  <c r="D12" i="13"/>
  <c r="C12" i="13" s="1"/>
  <c r="D7" i="13"/>
  <c r="C7" i="13" s="1"/>
  <c r="C18" i="10"/>
  <c r="C16" i="10"/>
  <c r="A40" i="12"/>
  <c r="G651" i="1"/>
  <c r="J651" i="1" s="1"/>
  <c r="F257" i="1"/>
  <c r="F271" i="1" s="1"/>
  <c r="C19" i="10"/>
  <c r="L247" i="1"/>
  <c r="C21" i="10"/>
  <c r="J257" i="1"/>
  <c r="J271" i="1" s="1"/>
  <c r="D14" i="13"/>
  <c r="C14" i="13" s="1"/>
  <c r="E13" i="13"/>
  <c r="C13" i="13" s="1"/>
  <c r="C118" i="2"/>
  <c r="C11" i="10"/>
  <c r="I257" i="1"/>
  <c r="I271" i="1" s="1"/>
  <c r="H257" i="1"/>
  <c r="H271" i="1" s="1"/>
  <c r="L229" i="1"/>
  <c r="C10" i="10"/>
  <c r="E16" i="13"/>
  <c r="C16" i="13" s="1"/>
  <c r="G649" i="1"/>
  <c r="J649" i="1" s="1"/>
  <c r="H647" i="1"/>
  <c r="C124" i="2"/>
  <c r="D15" i="13"/>
  <c r="C15" i="13" s="1"/>
  <c r="F662" i="1"/>
  <c r="E8" i="13"/>
  <c r="C8" i="13" s="1"/>
  <c r="K257" i="1"/>
  <c r="K271" i="1" s="1"/>
  <c r="C17" i="10"/>
  <c r="C15" i="10"/>
  <c r="D6" i="13"/>
  <c r="C6" i="13" s="1"/>
  <c r="C109" i="2"/>
  <c r="G257" i="1"/>
  <c r="G271" i="1" s="1"/>
  <c r="J641" i="1"/>
  <c r="E115" i="2"/>
  <c r="D5" i="13"/>
  <c r="C5" i="13" s="1"/>
  <c r="F22" i="13"/>
  <c r="C22" i="13" s="1"/>
  <c r="K550" i="1"/>
  <c r="D29" i="13"/>
  <c r="C29" i="13" s="1"/>
  <c r="G624" i="1"/>
  <c r="L534" i="1"/>
  <c r="K500" i="1"/>
  <c r="I460" i="1"/>
  <c r="I452" i="1"/>
  <c r="I461" i="1" s="1"/>
  <c r="H642" i="1" s="1"/>
  <c r="I446" i="1"/>
  <c r="G642" i="1" s="1"/>
  <c r="C125" i="2"/>
  <c r="C123" i="2"/>
  <c r="C121" i="2"/>
  <c r="C119" i="2"/>
  <c r="C114" i="2"/>
  <c r="C110" i="2"/>
  <c r="G661" i="1"/>
  <c r="L211" i="1"/>
  <c r="C20" i="10"/>
  <c r="L362" i="1"/>
  <c r="C27" i="10" s="1"/>
  <c r="C35" i="10"/>
  <c r="C29" i="10"/>
  <c r="L544" i="1"/>
  <c r="L524" i="1"/>
  <c r="J338" i="1"/>
  <c r="J352" i="1" s="1"/>
  <c r="D127" i="2"/>
  <c r="D128" i="2" s="1"/>
  <c r="D145" i="2" s="1"/>
  <c r="C120" i="2"/>
  <c r="C13" i="10"/>
  <c r="K551" i="1"/>
  <c r="H25" i="13"/>
  <c r="F169" i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J647" i="1" l="1"/>
  <c r="L545" i="1"/>
  <c r="K552" i="1"/>
  <c r="I662" i="1"/>
  <c r="J624" i="1"/>
  <c r="I661" i="1"/>
  <c r="G635" i="1"/>
  <c r="J635" i="1" s="1"/>
  <c r="C104" i="2"/>
  <c r="F193" i="1"/>
  <c r="G627" i="1" s="1"/>
  <c r="J627" i="1" s="1"/>
  <c r="H660" i="1"/>
  <c r="H664" i="1" s="1"/>
  <c r="H672" i="1" s="1"/>
  <c r="C6" i="10" s="1"/>
  <c r="G660" i="1"/>
  <c r="G664" i="1" s="1"/>
  <c r="G667" i="1" s="1"/>
  <c r="L338" i="1"/>
  <c r="L352" i="1" s="1"/>
  <c r="G633" i="1" s="1"/>
  <c r="J633" i="1" s="1"/>
  <c r="E145" i="2"/>
  <c r="D31" i="13"/>
  <c r="C31" i="13" s="1"/>
  <c r="F33" i="13"/>
  <c r="H648" i="1"/>
  <c r="J648" i="1" s="1"/>
  <c r="C115" i="2"/>
  <c r="E33" i="13"/>
  <c r="D35" i="13" s="1"/>
  <c r="L257" i="1"/>
  <c r="L271" i="1" s="1"/>
  <c r="G632" i="1" s="1"/>
  <c r="J632" i="1" s="1"/>
  <c r="C28" i="10"/>
  <c r="D24" i="10" s="1"/>
  <c r="C25" i="13"/>
  <c r="H33" i="13"/>
  <c r="C128" i="2"/>
  <c r="F660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67" i="1" l="1"/>
  <c r="D33" i="13"/>
  <c r="D36" i="13" s="1"/>
  <c r="G672" i="1"/>
  <c r="C5" i="10" s="1"/>
  <c r="C145" i="2"/>
  <c r="D20" i="10"/>
  <c r="D25" i="10"/>
  <c r="D26" i="10"/>
  <c r="D16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<sst xmlns="http://schemas.openxmlformats.org/spreadsheetml/2006/main" count="3962" uniqueCount="920">
  <si>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</si>
  <si>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</si>
  <si>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</si>
  <si>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</si>
  <si>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</si>
  <si>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</si>
  <si>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</si>
  <si>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</si>
  <si>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</si>
  <si>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</si>
  <si>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</si>
  <si>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</si>
  <si>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</si>
  <si>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</si>
  <si>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</si>
  <si>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</si>
  <si>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</si>
  <si>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</si>
  <si>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</si>
  <si>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</si>
  <si>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</si>
  <si>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</si>
  <si>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</si>
  <si>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</si>
  <si>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</si>
  <si>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</si>
  <si>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</si>
  <si>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</si>
  <si>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</si>
  <si>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</si>
  <si>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</si>
  <si>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</si>
  <si>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</si>
  <si>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</si>
  <si>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</si>
  <si>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</si>
  <si>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</si>
  <si>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</si>
  <si>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</si>
  <si>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</si>
  <si>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</si>
  <si>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</si>
  <si>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</si>
  <si>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</si>
  <si>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</si>
  <si>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</si>
  <si>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</si>
  <si>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</si>
  <si>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</si>
  <si>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</si>
  <si>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</si>
  <si>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</si>
  <si>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</si>
  <si>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</si>
  <si>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</si>
  <si>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</si>
  <si>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</si>
  <si>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</si>
  <si>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</si>
  <si>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</si>
  <si>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</si>
  <si>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</si>
  <si>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</si>
  <si>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</si>
  <si>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</si>
  <si>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</si>
  <si>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</si>
  <si>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</si>
  <si>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</si>
  <si>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</si>
  <si>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</si>
  <si>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</si>
  <si>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</si>
  <si>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</si>
  <si>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</si>
  <si>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</si>
  <si>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</si>
  <si>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</si>
  <si>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</si>
  <si>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</si>
  <si>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</si>
  <si>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</si>
  <si>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</si>
  <si>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</si>
  <si>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</si>
  <si>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</si>
  <si>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</si>
  <si>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</si>
  <si>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</si>
  <si>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</si>
  <si>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</si>
  <si>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</si>
  <si>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</si>
  <si>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</si>
  <si>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</si>
  <si>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</si>
  <si>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</si>
  <si>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</si>
  <si>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</si>
  <si>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</si>
  <si>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</si>
  <si>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</si>
  <si>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</si>
  <si>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</si>
  <si>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</si>
  <si>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</si>
  <si>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</si>
  <si>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</si>
  <si>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</si>
  <si>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</si>
  <si>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</si>
  <si>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</si>
  <si>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</si>
  <si>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</si>
  <si>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</si>
  <si>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</si>
  <si>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</si>
  <si>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</si>
  <si>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</si>
  <si>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</si>
  <si>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</si>
  <si>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</si>
  <si>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</si>
  <si>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</si>
  <si>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</si>
  <si>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</si>
  <si>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</si>
  <si>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</si>
  <si>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</si>
  <si>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</si>
  <si>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</si>
  <si>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</si>
  <si>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</si>
  <si>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</si>
  <si>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</si>
  <si>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</si>
  <si>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</si>
  <si>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</si>
  <si>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</si>
  <si>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</si>
  <si>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</si>
  <si>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</si>
  <si>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</si>
  <si>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</si>
  <si>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</si>
  <si>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</si>
  <si>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</si>
  <si>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</si>
  <si>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</si>
  <si>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</si>
  <si>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</si>
  <si>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</si>
  <si>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</si>
  <si>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</si>
  <si>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</si>
  <si>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</si>
  <si>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</si>
  <si>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</si>
  <si>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</si>
  <si>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</si>
  <si>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</si>
  <si>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</si>
  <si>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</si>
  <si>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</si>
  <si>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</si>
  <si>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</si>
  <si>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</si>
  <si>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</si>
  <si>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</si>
  <si>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</si>
  <si>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</si>
  <si>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</si>
  <si>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</si>
  <si>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</si>
  <si>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</si>
  <si>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</si>
  <si>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</si>
  <si>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</si>
  <si>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</si>
  <si>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</si>
  <si>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</si>
  <si>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</si>
  <si>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</si>
  <si>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</si>
  <si>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</si>
  <si>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</si>
  <si>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</si>
  <si>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</si>
  <si>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</si>
  <si>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</si>
  <si>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</si>
  <si>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</si>
  <si>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</si>
  <si>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</si>
  <si>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</si>
  <si>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</si>
  <si>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</si>
  <si>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</si>
  <si>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</si>
  <si>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</si>
  <si>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</si>
  <si>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</si>
  <si>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</si>
  <si>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</si>
  <si>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</si>
  <si>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</si>
  <si>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</si>
  <si>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</si>
  <si>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</si>
  <si>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</si>
  <si>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</si>
  <si>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</si>
  <si>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</si>
  <si>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</si>
  <si>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</si>
  <si>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</si>
  <si>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</si>
  <si>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</si>
  <si>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</si>
  <si>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</si>
  <si>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</si>
  <si>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</si>
  <si>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</si>
  <si>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</si>
  <si>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</si>
  <si>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</si>
  <si>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</si>
  <si>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</si>
  <si>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</si>
  <si>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</si>
  <si>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</si>
  <si>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</si>
  <si>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</si>
  <si>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</si>
  <si>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</si>
  <si>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</si>
  <si>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</si>
  <si>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</si>
  <si>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</si>
  <si>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</si>
  <si>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</si>
  <si>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</si>
  <si>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</si>
  <si>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</si>
  <si>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</si>
  <si>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</si>
  <si>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</si>
  <si>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</si>
  <si>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</si>
  <si>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</si>
  <si>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</si>
  <si>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</si>
  <si>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</si>
  <si>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</si>
  <si>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</si>
  <si>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</si>
  <si>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</si>
  <si>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</si>
  <si>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</si>
  <si>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</si>
  <si>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</si>
  <si>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</si>
  <si>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</si>
  <si>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</si>
  <si>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</si>
  <si>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</si>
  <si>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</si>
  <si>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</si>
  <si>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</si>
  <si>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</si>
  <si>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</si>
  <si>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</si>
  <si>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</si>
  <si>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</si>
  <si>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</si>
  <si>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</si>
  <si>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</si>
  <si>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</si>
  <si>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</si>
  <si>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</si>
  <si>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</si>
  <si>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</si>
  <si>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</si>
  <si>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</si>
  <si>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</si>
  <si>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</si>
  <si>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</si>
  <si>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</si>
  <si>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</si>
  <si>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</si>
  <si>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</si>
  <si>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</si>
  <si>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</si>
  <si>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</si>
  <si>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</si>
  <si>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</si>
  <si>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</si>
  <si>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</si>
  <si>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</si>
  <si>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</si>
  <si>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</si>
  <si>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</si>
  <si>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</si>
  <si>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</si>
  <si>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</si>
  <si>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</si>
  <si>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</si>
  <si>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</si>
  <si>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</si>
  <si>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</si>
  <si>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</si>
  <si>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</si>
  <si>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</si>
  <si>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</si>
  <si>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</si>
  <si>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</si>
  <si>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</si>
  <si>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</si>
  <si>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</si>
  <si>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</si>
  <si>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</si>
  <si>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</si>
  <si>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</si>
  <si>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</si>
  <si>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</si>
  <si>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</si>
  <si>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</si>
  <si>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</si>
  <si>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</si>
  <si>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</si>
  <si>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</si>
  <si>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</si>
  <si>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</si>
  <si>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</si>
  <si>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</si>
  <si>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</si>
  <si>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</si>
  <si>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</si>
  <si>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</si>
  <si>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</si>
  <si>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</si>
  <si>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</si>
  <si>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</si>
  <si>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</si>
  <si>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</si>
  <si>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</si>
  <si>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</si>
  <si>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</si>
  <si>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</si>
  <si>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</si>
  <si>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</si>
  <si>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</si>
  <si>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</si>
  <si>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</si>
  <si>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</si>
  <si>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</si>
  <si>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</si>
  <si>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</si>
  <si>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</si>
  <si>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</si>
  <si>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</si>
  <si>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</si>
  <si>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</si>
  <si>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</si>
  <si>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</si>
  <si>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</si>
  <si>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</si>
  <si>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</si>
  <si>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</si>
  <si>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</si>
  <si>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</si>
  <si>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</si>
  <si>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</si>
  <si>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</si>
  <si>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</si>
  <si>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</si>
  <si>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</si>
  <si>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</si>
  <si>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</si>
  <si>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</si>
  <si>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</si>
  <si>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</si>
  <si>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</si>
  <si>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</si>
  <si>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</si>
  <si>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</si>
  <si>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</si>
  <si>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</si>
  <si>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</si>
  <si>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</si>
  <si>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</si>
  <si>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</si>
  <si>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</si>
  <si>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</si>
  <si>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</si>
  <si>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</si>
  <si>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</si>
  <si>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</si>
  <si>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</si>
  <si>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</si>
  <si>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</si>
  <si>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</si>
  <si>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</si>
  <si>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</si>
  <si>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</si>
  <si>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</si>
  <si>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</si>
  <si>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</si>
  <si>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</si>
  <si>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</si>
  <si>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</si>
  <si>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</si>
  <si>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</si>
  <si>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</si>
  <si>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</si>
  <si>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</si>
  <si>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</si>
  <si>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</si>
  <si>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</si>
  <si>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</si>
  <si>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</si>
  <si>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</si>
  <si>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</si>
  <si>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</si>
  <si>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</si>
  <si>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</si>
  <si>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</si>
  <si>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</si>
  <si>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</si>
  <si>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</si>
  <si>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</si>
  <si>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</si>
  <si>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</si>
  <si>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</si>
  <si>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</si>
  <si>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</si>
  <si>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</si>
  <si>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</si>
  <si>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</si>
  <si>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</si>
  <si>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</si>
  <si>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</si>
  <si>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</si>
  <si>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</si>
  <si>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</si>
  <si>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</si>
  <si>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</si>
  <si>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</si>
  <si>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</si>
  <si>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</si>
  <si>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</si>
  <si>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</si>
  <si>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</si>
  <si>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</si>
  <si>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</si>
  <si>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</si>
  <si>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</si>
  <si>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</si>
  <si>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</si>
  <si>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</si>
  <si>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</si>
  <si>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</si>
  <si>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</si>
  <si>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</si>
  <si>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</si>
  <si>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</si>
  <si>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</si>
  <si>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</si>
  <si>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</si>
  <si>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</si>
  <si>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</si>
  <si>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</si>
  <si>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</si>
  <si>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</si>
  <si>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</si>
  <si>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</si>
  <si>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</si>
  <si>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</si>
  <si>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</si>
  <si>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</si>
  <si>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</si>
  <si>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</si>
  <si>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</si>
  <si>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</si>
  <si>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</si>
  <si>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</si>
  <si>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</si>
  <si>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</si>
  <si>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</si>
  <si>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</si>
  <si>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</si>
  <si>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</si>
  <si>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</si>
  <si>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</si>
  <si>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</si>
  <si>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</si>
  <si>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</si>
  <si>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</si>
  <si>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</si>
  <si>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</si>
  <si>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</si>
  <si>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</si>
  <si>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</si>
  <si>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</si>
  <si>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</si>
  <si>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</si>
  <si>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</si>
  <si>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</si>
  <si>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</si>
  <si>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</si>
  <si>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</si>
  <si>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</si>
  <si>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</si>
  <si>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</si>
  <si>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</si>
  <si>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</si>
  <si>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</si>
  <si>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</si>
  <si>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</si>
  <si>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</si>
  <si>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</si>
  <si>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</si>
  <si>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</si>
  <si>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</si>
  <si>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</si>
  <si>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</si>
  <si>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</si>
  <si>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</si>
  <si>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</si>
  <si>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</si>
  <si>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</si>
  <si>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</si>
  <si>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</si>
  <si>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</si>
  <si>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</si>
  <si>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</si>
  <si>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</si>
  <si>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</si>
  <si>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</si>
  <si>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</si>
  <si>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</si>
  <si>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</si>
  <si>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</si>
  <si>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</si>
  <si>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</si>
  <si>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</si>
  <si>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</si>
  <si>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</si>
  <si>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</si>
  <si>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</si>
  <si>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</si>
  <si>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</si>
  <si>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</si>
  <si>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</si>
  <si>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</si>
  <si>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</si>
  <si>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</si>
  <si>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</si>
  <si>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</si>
  <si>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</si>
  <si>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</si>
  <si>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</si>
  <si>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</si>
  <si>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</si>
  <si>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</si>
  <si>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</si>
  <si>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</si>
  <si>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</si>
  <si>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</si>
  <si>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</si>
  <si>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</si>
  <si>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</si>
  <si>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</si>
  <si>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</si>
  <si>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</si>
  <si>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</si>
  <si>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</si>
  <si>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</si>
  <si>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</si>
  <si>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</si>
  <si>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</si>
  <si>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</si>
  <si>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</si>
  <si>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</si>
  <si>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</si>
  <si>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</si>
  <si>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</si>
  <si>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</si>
  <si>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</si>
  <si>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</si>
  <si>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</si>
  <si>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</si>
  <si>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</si>
  <si>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</si>
  <si>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</si>
  <si>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</si>
  <si>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</si>
  <si>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</si>
  <si>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</si>
  <si>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</si>
  <si>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</si>
  <si>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</si>
  <si>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</si>
  <si>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</si>
  <si>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</si>
  <si>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</si>
  <si>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</si>
  <si>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</si>
  <si>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</si>
  <si>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</si>
  <si>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</si>
  <si>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</si>
  <si>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</si>
  <si>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</si>
  <si>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</si>
  <si>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</si>
  <si>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</si>
  <si>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</si>
  <si>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</si>
  <si>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</si>
  <si>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</si>
  <si>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</si>
  <si>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</si>
  <si>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</si>
  <si>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</si>
  <si>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</si>
  <si>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</si>
  <si>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</si>
  <si>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</si>
  <si>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</si>
  <si>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</si>
  <si>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</si>
  <si>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</si>
  <si>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</si>
  <si>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</si>
  <si>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</si>
  <si>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</si>
  <si>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</si>
  <si>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</si>
  <si>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</si>
  <si>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</si>
  <si>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</si>
  <si>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</si>
  <si>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</si>
  <si>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</si>
  <si>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</si>
  <si>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</si>
  <si>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</si>
  <si>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</si>
  <si>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</si>
  <si>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</si>
  <si>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</si>
  <si>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</si>
  <si>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</si>
  <si>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</si>
  <si>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</si>
  <si>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</si>
  <si>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</si>
  <si>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</si>
  <si>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</si>
  <si>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</si>
  <si>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</si>
  <si>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</si>
  <si>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</si>
  <si>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</si>
  <si>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</si>
  <si>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</si>
  <si>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</si>
  <si>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</si>
  <si>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</si>
  <si>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</si>
  <si>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</si>
  <si>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</si>
  <si>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</si>
  <si>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</si>
  <si>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</si>
  <si>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</si>
  <si>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</si>
  <si>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</si>
  <si>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</si>
  <si>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</si>
  <si>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</si>
  <si>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</si>
  <si>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</si>
  <si>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</si>
  <si>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</si>
  <si>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</si>
  <si>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</si>
  <si>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</si>
  <si>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</si>
  <si>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</si>
  <si>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</si>
  <si>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</si>
  <si>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</si>
  <si>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</si>
  <si>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</si>
  <si>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</si>
  <si>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</si>
  <si>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</si>
  <si>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</si>
  <si>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</si>
  <si>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</si>
  <si>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</si>
  <si>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</si>
  <si>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</si>
  <si>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</si>
  <si>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</si>
  <si>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</si>
  <si>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</si>
  <si>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</si>
  <si>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</si>
  <si>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</si>
  <si>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</si>
  <si>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</si>
  <si>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</si>
  <si>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</si>
  <si>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</si>
  <si>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</si>
  <si>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</si>
  <si>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</si>
  <si>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</si>
  <si>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</si>
  <si>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</si>
  <si>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</si>
  <si>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</si>
  <si>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</si>
  <si>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</si>
  <si>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</si>
  <si>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</si>
  <si>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</si>
  <si>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</si>
  <si>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</si>
  <si>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</si>
  <si>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</si>
  <si>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</si>
  <si>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</si>
  <si>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</si>
  <si>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</si>
  <si>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</si>
  <si>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</si>
  <si>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</si>
  <si>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</si>
  <si>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</si>
  <si>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</si>
  <si>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</si>
  <si>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</si>
  <si>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</si>
  <si>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</si>
  <si>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</si>
  <si>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</si>
  <si>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</si>
  <si>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</si>
  <si>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</si>
  <si>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</si>
  <si>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</si>
  <si>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</si>
  <si>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</si>
  <si>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</si>
  <si>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</si>
  <si>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</si>
  <si>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</si>
  <si>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</si>
  <si>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</si>
  <si>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</si>
  <si>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</si>
  <si>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</si>
  <si>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</si>
  <si>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</si>
  <si>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</si>
  <si>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</si>
  <si>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</si>
  <si>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</si>
  <si>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</si>
  <si>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</si>
  <si>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</si>
  <si>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</si>
  <si>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</si>
  <si>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</si>
  <si>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</si>
  <si>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</si>
  <si>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</si>
  <si>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</si>
  <si>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</si>
  <si>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</si>
  <si>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</si>
  <si>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</si>
  <si>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</si>
  <si>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</si>
  <si>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</si>
  <si>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</si>
  <si>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</si>
  <si>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</si>
  <si>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</si>
  <si>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</si>
  <si>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</si>
  <si>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</si>
  <si>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</si>
  <si>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</si>
  <si>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</si>
  <si>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</si>
  <si>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</si>
  <si>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</si>
  <si>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</si>
  <si>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</si>
  <si>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</si>
  <si>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</si>
  <si>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</si>
  <si>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</si>
  <si>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</si>
  <si>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</si>
  <si>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</si>
  <si>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</si>
  <si>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</si>
  <si>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</si>
  <si>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</si>
  <si>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</si>
  <si>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</si>
  <si>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</si>
  <si>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</si>
  <si>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</si>
  <si>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</si>
  <si>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</si>
  <si>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</si>
  <si>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</si>
  <si>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</si>
  <si>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</si>
  <si>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</si>
  <si>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</si>
  <si>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</si>
  <si>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</si>
  <si>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</si>
  <si>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</si>
  <si>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</si>
  <si>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</si>
  <si>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</si>
  <si>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</si>
  <si>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</si>
  <si>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</si>
  <si>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</si>
  <si>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</si>
  <si>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</si>
  <si>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</si>
  <si>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</si>
  <si>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</si>
  <si>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</si>
  <si>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</si>
  <si>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</si>
  <si>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</si>
  <si>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</si>
  <si>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</si>
  <si>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</si>
  <si>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</si>
  <si>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</si>
  <si>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</si>
  <si>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</si>
  <si>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</si>
  <si>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</si>
  <si>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</si>
  <si>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</si>
  <si>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</si>
  <si>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</si>
  <si>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</si>
  <si>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</si>
  <si>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</si>
  <si>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</si>
  <si>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</si>
  <si>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</si>
  <si>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</si>
  <si>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</si>
  <si>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</si>
  <si>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</si>
  <si>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</si>
  <si>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</si>
  <si>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</si>
  <si>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</si>
  <si>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</si>
  <si>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</si>
  <si>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</si>
  <si>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</si>
  <si>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</si>
  <si>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</si>
  <si>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</si>
  <si>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</si>
  <si>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</si>
  <si>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</si>
  <si>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</si>
  <si>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</si>
  <si>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</si>
  <si>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</si>
  <si>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</si>
  <si>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</si>
  <si>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</si>
  <si>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</si>
  <si>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</si>
  <si>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</si>
  <si>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</si>
  <si>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</si>
  <si>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</si>
  <si>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</si>
  <si>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</si>
  <si>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</si>
  <si>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</si>
  <si>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</si>
  <si>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</si>
  <si>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</si>
  <si>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</si>
  <si>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</si>
  <si>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</si>
  <si>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</si>
  <si>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</si>
  <si>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</si>
  <si>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</si>
  <si>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07/06</t>
  </si>
  <si>
    <t>07/16</t>
  </si>
  <si>
    <t>01/10</t>
  </si>
  <si>
    <t>08/25</t>
  </si>
  <si>
    <t>Food services grant exp in FS account</t>
  </si>
  <si>
    <t>Grant for food services carried in fund 20</t>
  </si>
  <si>
    <t>Two Food Services grants for training - recorded in fund 20 under grants and donations.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</si>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</sst>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51</v>
      </c>
      <c r="C2" s="21">
        <v>51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/>
      <c r="G9" s="18">
        <v>13526.71</v>
      </c>
      <c r="H9" s="18">
        <v>23215.94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0</v>
      </c>
      <c r="G19" s="41">
        <f>SUM(G9:G18)</f>
        <v>13526.71</v>
      </c>
      <c r="H19" s="41">
        <f>SUM(H9:H18)</f>
        <v>23215.94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13526.71</v>
      </c>
      <c r="H48" s="18">
        <v>23215.94</v>
      </c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13526.71</v>
      </c>
      <c r="H51" s="41">
        <f>SUM(H35:H50)</f>
        <v>23215.94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0</v>
      </c>
      <c r="G52" s="41">
        <f>G51+G32</f>
        <v>13526.71</v>
      </c>
      <c r="H52" s="41">
        <f>H51+H32</f>
        <v>23215.94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5071334.29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5071334.29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1308983.3700000001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67310.28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1376293.6500000001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2674.53</v>
      </c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2674.53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206225.26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843.65</v>
      </c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44527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80509.600000000006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81353.25</v>
      </c>
      <c r="G111" s="41">
        <f>SUM(G96:G110)</f>
        <v>206225.26</v>
      </c>
      <c r="H111" s="41">
        <f>SUM(H96:H110)</f>
        <v>44527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6531655.7200000007</v>
      </c>
      <c r="G112" s="41">
        <f>G60+G111</f>
        <v>206225.26</v>
      </c>
      <c r="H112" s="41">
        <f>H60+H79+H94+H111</f>
        <v>44527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10014975.949999999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629396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10644371.949999999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123287.13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14747.61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82994.39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>
        <v>19787.37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9080.5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221029.13</v>
      </c>
      <c r="G136" s="41">
        <f>SUM(G123:G135)</f>
        <v>9080.5</v>
      </c>
      <c r="H136" s="41">
        <f>SUM(H123:H135)</f>
        <v>19787.37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10865401.08</v>
      </c>
      <c r="G140" s="41">
        <f>G121+SUM(G136:G137)</f>
        <v>9080.5</v>
      </c>
      <c r="H140" s="41">
        <f>H121+SUM(H136:H139)</f>
        <v>19787.37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678107.61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370013.7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57731.96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424622.07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300003.98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316463.87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678892.48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316463.87</v>
      </c>
      <c r="G162" s="41">
        <f>SUM(G150:G161)</f>
        <v>424622.07</v>
      </c>
      <c r="H162" s="41">
        <f>SUM(H150:H161)</f>
        <v>2084749.73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12188.27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328652.14</v>
      </c>
      <c r="G169" s="41">
        <f>G147+G162+SUM(G163:G168)</f>
        <v>424622.07</v>
      </c>
      <c r="H169" s="41">
        <f>H147+H162+SUM(H163:H168)</f>
        <v>2084749.73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17725708.940000001</v>
      </c>
      <c r="G193" s="47">
        <f>G112+G140+G169+G192</f>
        <v>639927.83000000007</v>
      </c>
      <c r="H193" s="47">
        <f>H112+H140+H169+H192</f>
        <v>2149064.1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61917.74+1683439.84+6000+840</f>
        <v>1752197.58</v>
      </c>
      <c r="G197" s="18">
        <f>43083.86+705453.59+11970.55</f>
        <v>760508</v>
      </c>
      <c r="H197" s="18">
        <f>42606.95+300+1925</f>
        <v>44831.95</v>
      </c>
      <c r="I197" s="18">
        <f>5468.86+67856.4+129+2023</f>
        <v>75477.259999999995</v>
      </c>
      <c r="J197" s="18">
        <f>54558.66+22518.93</f>
        <v>77077.59</v>
      </c>
      <c r="K197" s="18"/>
      <c r="L197" s="19">
        <f>SUM(F197:K197)</f>
        <v>2710092.38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38337.55+12399.22+751174.22+21636.38</f>
        <v>823547.37</v>
      </c>
      <c r="G198" s="18">
        <f>948.61+6251.61+242203.22+1655.25+5626.25</f>
        <v>256684.94</v>
      </c>
      <c r="H198" s="18">
        <f>49915.28+41231.74+16823.06</f>
        <v>107970.07999999999</v>
      </c>
      <c r="I198" s="18">
        <f>248.52+2905.55</f>
        <v>3154.07</v>
      </c>
      <c r="J198" s="18">
        <f>237.95+2282</f>
        <v>2519.9499999999998</v>
      </c>
      <c r="K198" s="18"/>
      <c r="L198" s="19">
        <f>SUM(F198:K198)</f>
        <v>1193876.4100000001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25163.39+28072</f>
        <v>53235.39</v>
      </c>
      <c r="G200" s="18">
        <f>2574.74+5043.76+363.69</f>
        <v>7982.19</v>
      </c>
      <c r="H200" s="18">
        <f>717+37280+4680.9</f>
        <v>42677.9</v>
      </c>
      <c r="I200" s="18">
        <f>247+99.11</f>
        <v>346.11</v>
      </c>
      <c r="J200" s="18"/>
      <c r="K200" s="18">
        <f>430+160</f>
        <v>590</v>
      </c>
      <c r="L200" s="19">
        <f>SUM(F200:K200)</f>
        <v>104831.59000000001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78774.57+111706.92+81975.5+73472+2000+840</f>
        <v>348768.99</v>
      </c>
      <c r="G202" s="18">
        <f>34935.94+46859.81+48292.57+26979.68+2382.69</f>
        <v>159450.69</v>
      </c>
      <c r="H202" s="18">
        <f>2100+7297.5+785+9297.05+194014.36+9977.38+24882.5+590+149.5+224.25</f>
        <v>249317.53999999998</v>
      </c>
      <c r="I202" s="18">
        <f>75.36+2039.31+545.19+899.93</f>
        <v>3559.79</v>
      </c>
      <c r="J202" s="18"/>
      <c r="K202" s="18">
        <f>179+39.95</f>
        <v>218.95</v>
      </c>
      <c r="L202" s="19">
        <f t="shared" ref="L202:L208" si="0">SUM(F202:K202)</f>
        <v>761315.96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110273.37</f>
        <v>110273.37</v>
      </c>
      <c r="G203" s="18">
        <f>5178+54884.1+753.36</f>
        <v>60815.46</v>
      </c>
      <c r="H203" s="18">
        <f>4455.29</f>
        <v>4455.29</v>
      </c>
      <c r="I203" s="18">
        <f>2393.15+9067.5</f>
        <v>11460.65</v>
      </c>
      <c r="J203" s="18"/>
      <c r="K203" s="18"/>
      <c r="L203" s="19">
        <f t="shared" si="0"/>
        <v>187004.77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71790.97+44924.45+1640</f>
        <v>118355.42</v>
      </c>
      <c r="G204" s="18">
        <f>28515.82+10312.34+808.57</f>
        <v>39636.730000000003</v>
      </c>
      <c r="H204" s="18">
        <f>5438.46+7830.47+2957.86</f>
        <v>16226.79</v>
      </c>
      <c r="I204" s="18">
        <f>2560.69+4563.53</f>
        <v>7124.2199999999993</v>
      </c>
      <c r="J204" s="18">
        <f>1539.3+711.12</f>
        <v>2250.42</v>
      </c>
      <c r="K204" s="18">
        <f>8990.51+1346.98+184.5</f>
        <v>10521.99</v>
      </c>
      <c r="L204" s="19">
        <f t="shared" si="0"/>
        <v>194115.57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210385.9+4000</f>
        <v>214385.9</v>
      </c>
      <c r="G205" s="18">
        <f>53242.9+1464.63</f>
        <v>54707.53</v>
      </c>
      <c r="H205" s="18">
        <f>33989.51</f>
        <v>33989.51</v>
      </c>
      <c r="I205" s="18">
        <f>2017.6</f>
        <v>2017.6</v>
      </c>
      <c r="J205" s="18"/>
      <c r="K205" s="18">
        <f>1560</f>
        <v>1560</v>
      </c>
      <c r="L205" s="19">
        <f t="shared" si="0"/>
        <v>306660.53999999998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70348.76</f>
        <v>70348.759999999995</v>
      </c>
      <c r="G206" s="18">
        <f>28763.33+480.6</f>
        <v>29243.93</v>
      </c>
      <c r="H206" s="18">
        <f>180.43+13734</f>
        <v>13914.43</v>
      </c>
      <c r="I206" s="18"/>
      <c r="J206" s="18"/>
      <c r="K206" s="18">
        <f>2506.75</f>
        <v>2506.75</v>
      </c>
      <c r="L206" s="19">
        <f t="shared" si="0"/>
        <v>116013.87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79930.06+82413.44</f>
        <v>162343.5</v>
      </c>
      <c r="G207" s="18">
        <f>33218.39+47829.46+1109.09</f>
        <v>82156.94</v>
      </c>
      <c r="H207" s="18">
        <f>139581.95+5971.96</f>
        <v>145553.91</v>
      </c>
      <c r="I207" s="18">
        <f>45864.91+34493.68+12210.24</f>
        <v>92568.83</v>
      </c>
      <c r="J207" s="18">
        <f>5466.02+105750</f>
        <v>111216.02</v>
      </c>
      <c r="K207" s="18"/>
      <c r="L207" s="19">
        <f t="shared" si="0"/>
        <v>593839.19999999995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80465.57+1517.39+3815.15+220.49+914.36+1429.47</f>
        <v>88362.430000000008</v>
      </c>
      <c r="G208" s="18">
        <f>19271.64+116.08+291.77+16.85+69.89+109.26+603.67</f>
        <v>20479.159999999996</v>
      </c>
      <c r="H208" s="18">
        <f>26922.49</f>
        <v>26922.49</v>
      </c>
      <c r="I208" s="18">
        <f>24173.96</f>
        <v>24173.96</v>
      </c>
      <c r="J208" s="18">
        <f>47668.32</f>
        <v>47668.32</v>
      </c>
      <c r="K208" s="18">
        <v>180.73</v>
      </c>
      <c r="L208" s="19">
        <f t="shared" si="0"/>
        <v>207787.09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1635.48</f>
        <v>1635.48</v>
      </c>
      <c r="G209" s="18">
        <f>125.11+11.17</f>
        <v>136.28</v>
      </c>
      <c r="H209" s="18"/>
      <c r="I209" s="18"/>
      <c r="J209" s="18"/>
      <c r="K209" s="18"/>
      <c r="L209" s="19">
        <f>SUM(F209:K209)</f>
        <v>1771.76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3743454.19</v>
      </c>
      <c r="G211" s="41">
        <f t="shared" si="1"/>
        <v>1471801.8499999996</v>
      </c>
      <c r="H211" s="41">
        <f t="shared" si="1"/>
        <v>685859.8899999999</v>
      </c>
      <c r="I211" s="41">
        <f t="shared" si="1"/>
        <v>219882.49</v>
      </c>
      <c r="J211" s="41">
        <f t="shared" si="1"/>
        <v>240732.3</v>
      </c>
      <c r="K211" s="41">
        <f t="shared" si="1"/>
        <v>15578.42</v>
      </c>
      <c r="L211" s="41">
        <f t="shared" si="1"/>
        <v>6377309.1399999997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33907.34+1022246.11+4000+460</f>
        <v>1060613.45</v>
      </c>
      <c r="G215" s="18">
        <f>23593.54+484213.09+7245.82</f>
        <v>515052.45</v>
      </c>
      <c r="H215" s="18">
        <f>23332.38+30068.51</f>
        <v>53400.89</v>
      </c>
      <c r="I215" s="18">
        <f>2994.85+29754.75+756.27</f>
        <v>33505.869999999995</v>
      </c>
      <c r="J215" s="18">
        <f>29877.37+16562.88+1494.73</f>
        <v>47934.98</v>
      </c>
      <c r="K215" s="18">
        <f>845</f>
        <v>845</v>
      </c>
      <c r="L215" s="19">
        <f>SUM(F215:K215)</f>
        <v>1711352.6399999997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5823.42+8467.76+459897.08+8242.6</f>
        <v>482430.86</v>
      </c>
      <c r="G216" s="18">
        <f>647.84+949.61+173242.53+676.64+3295.83</f>
        <v>178812.45</v>
      </c>
      <c r="H216" s="18">
        <f>34088.48+36870.4</f>
        <v>70958.880000000005</v>
      </c>
      <c r="I216" s="18">
        <f>37.75+1101.75</f>
        <v>1139.5</v>
      </c>
      <c r="J216" s="18"/>
      <c r="K216" s="18"/>
      <c r="L216" s="19">
        <f>SUM(F216:K216)</f>
        <v>733341.69000000006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8595.81+26226</f>
        <v>34821.81</v>
      </c>
      <c r="G218" s="18">
        <f>1503.97+4222.32+237.89</f>
        <v>5964.18</v>
      </c>
      <c r="H218" s="18">
        <f>1850+12720+2563.35</f>
        <v>17133.349999999999</v>
      </c>
      <c r="I218" s="18">
        <f>2655.27</f>
        <v>2655.27</v>
      </c>
      <c r="J218" s="18"/>
      <c r="K218" s="18">
        <f>835</f>
        <v>835</v>
      </c>
      <c r="L218" s="19">
        <f>SUM(F218:K218)</f>
        <v>61409.609999999993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21483.98+62555.88+77826.93+35744+460</f>
        <v>198070.78999999998</v>
      </c>
      <c r="G220" s="18">
        <f>9527.98+26241.49+36837.66+17484.6+1353.17</f>
        <v>91444.900000000009</v>
      </c>
      <c r="H220" s="18">
        <f>1150+3996.25+439.6+5206.35+25712.75+986.77+359.9+295</f>
        <v>38146.619999999995</v>
      </c>
      <c r="I220" s="18">
        <f>20.55+1142.02+1302.24+1305.97</f>
        <v>3770.7799999999997</v>
      </c>
      <c r="J220" s="18"/>
      <c r="K220" s="18">
        <f>696.99+49.94</f>
        <v>746.93000000000006</v>
      </c>
      <c r="L220" s="19">
        <f t="shared" ref="L220:L226" si="2">SUM(F220:K220)</f>
        <v>332180.02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22263.03</f>
        <v>22263.03</v>
      </c>
      <c r="G221" s="18">
        <f>6546+13952.34+152.09</f>
        <v>20650.43</v>
      </c>
      <c r="H221" s="18">
        <f>521.1+1809.51</f>
        <v>2330.61</v>
      </c>
      <c r="I221" s="18">
        <f>520.08+7326.02</f>
        <v>7846.1</v>
      </c>
      <c r="J221" s="18"/>
      <c r="K221" s="18">
        <f>40</f>
        <v>40</v>
      </c>
      <c r="L221" s="19">
        <f t="shared" si="2"/>
        <v>53130.17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39314.11+30680.12+1120</f>
        <v>71114.23</v>
      </c>
      <c r="G222" s="18">
        <f>15615.8+7042.57+485.83</f>
        <v>23144.2</v>
      </c>
      <c r="H222" s="18">
        <f>2978.21+4288.12+2020.01</f>
        <v>9286.34</v>
      </c>
      <c r="I222" s="18">
        <f>1402.28+693.19</f>
        <v>2095.4700000000003</v>
      </c>
      <c r="J222" s="18">
        <f>842.95+485.65</f>
        <v>1328.6</v>
      </c>
      <c r="K222" s="18">
        <f>4923.38+737.63+126</f>
        <v>5787.01</v>
      </c>
      <c r="L222" s="19">
        <f t="shared" si="2"/>
        <v>112755.84999999999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108486.94</f>
        <v>108486.94</v>
      </c>
      <c r="G223" s="18">
        <f>71550.45+741.15</f>
        <v>72291.599999999991</v>
      </c>
      <c r="H223" s="18">
        <f>17105.2</f>
        <v>17105.2</v>
      </c>
      <c r="I223" s="18">
        <f>3007.53</f>
        <v>3007.53</v>
      </c>
      <c r="J223" s="18">
        <f>2128.89</f>
        <v>2128.89</v>
      </c>
      <c r="K223" s="18">
        <f>1359.97</f>
        <v>1359.97</v>
      </c>
      <c r="L223" s="19">
        <f t="shared" si="2"/>
        <v>204380.13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38524.32</f>
        <v>38524.32</v>
      </c>
      <c r="G224" s="18">
        <f>15751.35+263.19</f>
        <v>16014.54</v>
      </c>
      <c r="H224" s="18">
        <f>98.81+7521</f>
        <v>7619.81</v>
      </c>
      <c r="I224" s="18"/>
      <c r="J224" s="18"/>
      <c r="K224" s="18">
        <f>1372.75</f>
        <v>1372.75</v>
      </c>
      <c r="L224" s="19">
        <f t="shared" si="2"/>
        <v>63531.42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43771.22+88462.32</f>
        <v>132233.54</v>
      </c>
      <c r="G225" s="18">
        <f>18191.02+42980.09+903.38</f>
        <v>62074.49</v>
      </c>
      <c r="H225" s="18">
        <f>76437.74+227526.2</f>
        <v>303963.94</v>
      </c>
      <c r="I225" s="18">
        <f>25116.5+143184.48+6686.56</f>
        <v>174987.54</v>
      </c>
      <c r="J225" s="18">
        <f>2993.3+119250</f>
        <v>122243.3</v>
      </c>
      <c r="K225" s="18"/>
      <c r="L225" s="19">
        <f t="shared" si="2"/>
        <v>795502.81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43106.56+230.49+837.47+16.23+3534.22+1581.57</f>
        <v>49306.54</v>
      </c>
      <c r="G226" s="18">
        <f>10324.09+17.63+64.05+1.23+270.15+120.84+336.85</f>
        <v>11134.839999999998</v>
      </c>
      <c r="H226" s="18">
        <f>14422.76</f>
        <v>14422.76</v>
      </c>
      <c r="I226" s="18">
        <f>12950.33</f>
        <v>12950.33</v>
      </c>
      <c r="J226" s="18">
        <f>25536.6</f>
        <v>25536.6</v>
      </c>
      <c r="K226" s="18">
        <f>96.83</f>
        <v>96.83</v>
      </c>
      <c r="L226" s="19">
        <f t="shared" si="2"/>
        <v>113447.90000000001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f>895.62</f>
        <v>895.62</v>
      </c>
      <c r="G227" s="18">
        <f>68.51+6.12</f>
        <v>74.63000000000001</v>
      </c>
      <c r="H227" s="18"/>
      <c r="I227" s="18"/>
      <c r="J227" s="18"/>
      <c r="K227" s="18"/>
      <c r="L227" s="19">
        <f>SUM(F227:K227)</f>
        <v>970.25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2198761.1300000004</v>
      </c>
      <c r="G229" s="41">
        <f>SUM(G215:G228)</f>
        <v>996658.71000000008</v>
      </c>
      <c r="H229" s="41">
        <f>SUM(H215:H228)</f>
        <v>534368.4</v>
      </c>
      <c r="I229" s="41">
        <f>SUM(I215:I228)</f>
        <v>241958.38999999998</v>
      </c>
      <c r="J229" s="41">
        <f>SUM(J215:J228)</f>
        <v>199172.37000000002</v>
      </c>
      <c r="K229" s="41">
        <f t="shared" si="3"/>
        <v>11083.49</v>
      </c>
      <c r="L229" s="41">
        <f t="shared" si="3"/>
        <v>4182002.4899999993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51598.12+1678480.15+10000+700</f>
        <v>1740778.27</v>
      </c>
      <c r="G233" s="18">
        <f>35903.21+748452.08+11892.52</f>
        <v>796247.80999999994</v>
      </c>
      <c r="H233" s="18">
        <f>35505.79+10506.03</f>
        <v>46011.82</v>
      </c>
      <c r="I233" s="18">
        <f>4557.39+61910.33</f>
        <v>66467.72</v>
      </c>
      <c r="J233" s="18">
        <f>45465.56+20082.92+3578.27</f>
        <v>69126.75</v>
      </c>
      <c r="K233" s="18">
        <f>464</f>
        <v>464</v>
      </c>
      <c r="L233" s="19">
        <f>SUM(F233:K233)</f>
        <v>2719096.37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4367.57+9375.02+420863.95+21819.2</f>
        <v>456425.74000000005</v>
      </c>
      <c r="G234" s="18">
        <f>717.25+712.21+143117.7+12741.18+3118.18</f>
        <v>160406.51999999999</v>
      </c>
      <c r="H234" s="18">
        <f>37740.82+619154.42+40836</f>
        <v>697731.24</v>
      </c>
      <c r="I234" s="18">
        <f>28.31+1693.68</f>
        <v>1721.99</v>
      </c>
      <c r="J234" s="18"/>
      <c r="K234" s="18"/>
      <c r="L234" s="19">
        <f>SUM(F234:K234)</f>
        <v>1316285.49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f>445737.82+4000</f>
        <v>449737.82</v>
      </c>
      <c r="G235" s="18">
        <f>210053.48+3072.49</f>
        <v>213125.97</v>
      </c>
      <c r="H235" s="18">
        <f>4487.96</f>
        <v>4487.96</v>
      </c>
      <c r="I235" s="18">
        <f>47711.6</f>
        <v>47711.6</v>
      </c>
      <c r="J235" s="18">
        <f>2234.8</f>
        <v>2234.8000000000002</v>
      </c>
      <c r="K235" s="18"/>
      <c r="L235" s="19">
        <f>SUM(F235:K235)</f>
        <v>717298.15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20007.76+97569</f>
        <v>117576.76</v>
      </c>
      <c r="G236" s="18">
        <f>4224.18+16496.58+803.25</f>
        <v>21524.010000000002</v>
      </c>
      <c r="H236" s="18">
        <f>59007.6+3900.75</f>
        <v>62908.35</v>
      </c>
      <c r="I236" s="18">
        <f>546.25+16043.82</f>
        <v>16590.07</v>
      </c>
      <c r="J236" s="18">
        <f>8710.64</f>
        <v>8710.64</v>
      </c>
      <c r="K236" s="18">
        <f>315+13676.04</f>
        <v>13991.04</v>
      </c>
      <c r="L236" s="19">
        <f>SUM(F236:K236)</f>
        <v>241300.87000000002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42967.95+49151.05+185545.8+37092+700</f>
        <v>315456.8</v>
      </c>
      <c r="G238" s="18">
        <f>19055.97+20618.31+89392.08+32109.42+2155.11</f>
        <v>163330.88999999998</v>
      </c>
      <c r="H238" s="18">
        <f>1750+6081.25+345.4+4090.7+14025.14+7383.02+590</f>
        <v>34265.509999999995</v>
      </c>
      <c r="I238" s="18">
        <f>41.11+897.3+2327.63+1559.93</f>
        <v>4825.97</v>
      </c>
      <c r="J238" s="18">
        <f>399.99</f>
        <v>399.99</v>
      </c>
      <c r="K238" s="18">
        <f>254</f>
        <v>254</v>
      </c>
      <c r="L238" s="19">
        <f t="shared" ref="L238:L244" si="4">SUM(F238:K238)</f>
        <v>518533.15999999992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43823+2000</f>
        <v>45823</v>
      </c>
      <c r="G239" s="18">
        <f>11609.75+11080.78+313.05</f>
        <v>23003.579999999998</v>
      </c>
      <c r="H239" s="18">
        <f>953.16+2762.33</f>
        <v>3715.49</v>
      </c>
      <c r="I239" s="18">
        <f>4497.93+6877.06</f>
        <v>11374.990000000002</v>
      </c>
      <c r="J239" s="18">
        <f>1408.81</f>
        <v>1408.81</v>
      </c>
      <c r="K239" s="18"/>
      <c r="L239" s="19">
        <f t="shared" si="4"/>
        <v>85325.87000000001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59825.82+33967.27+102001.15+1240</f>
        <v>197034.23999999999</v>
      </c>
      <c r="G240" s="18">
        <f>23763.18+7797.13+40179.98+1346.08</f>
        <v>73086.37000000001</v>
      </c>
      <c r="H240" s="18">
        <f>4532.06+6525.4+2236.44+5962.45</f>
        <v>19256.349999999999</v>
      </c>
      <c r="I240" s="18">
        <f>2133.9+519.9</f>
        <v>2653.8</v>
      </c>
      <c r="J240" s="18">
        <f>1282.75+537.68</f>
        <v>1820.4299999999998</v>
      </c>
      <c r="K240" s="18">
        <f>7492.09+1500+1122.48+139.5+105</f>
        <v>10359.07</v>
      </c>
      <c r="L240" s="19">
        <f t="shared" si="4"/>
        <v>304210.25999999995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232421.62</f>
        <v>232421.62</v>
      </c>
      <c r="G241" s="18">
        <f>101728.22+1587.84</f>
        <v>103316.06</v>
      </c>
      <c r="H241" s="18">
        <f>19767.16</f>
        <v>19767.16</v>
      </c>
      <c r="I241" s="18">
        <f>5371.86</f>
        <v>5371.86</v>
      </c>
      <c r="J241" s="18">
        <f>20578.59</f>
        <v>20578.59</v>
      </c>
      <c r="K241" s="18">
        <f>5004</f>
        <v>5004</v>
      </c>
      <c r="L241" s="19">
        <f t="shared" si="4"/>
        <v>386459.29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58623.97</f>
        <v>58623.97</v>
      </c>
      <c r="G242" s="18">
        <f>23969.44+400.5</f>
        <v>24369.94</v>
      </c>
      <c r="H242" s="18">
        <f>150.36+11445</f>
        <v>11595.36</v>
      </c>
      <c r="I242" s="18"/>
      <c r="J242" s="18"/>
      <c r="K242" s="18">
        <f>2088.96</f>
        <v>2088.96</v>
      </c>
      <c r="L242" s="19">
        <f t="shared" si="4"/>
        <v>96678.23000000001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66608.38+134900.71</f>
        <v>201509.09</v>
      </c>
      <c r="G243" s="18">
        <f>27681.99+62680.41+1376.65</f>
        <v>91739.05</v>
      </c>
      <c r="H243" s="18">
        <f>116318.29+81220.32</f>
        <v>197538.61</v>
      </c>
      <c r="I243" s="18">
        <f>38220.76+163128.12+10175.2</f>
        <v>211524.08000000002</v>
      </c>
      <c r="J243" s="18">
        <f>4555.02</f>
        <v>4555.0200000000004</v>
      </c>
      <c r="K243" s="18"/>
      <c r="L243" s="19">
        <f t="shared" si="4"/>
        <v>706865.85000000009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20116.39+172.87+92.05+17488.44+3532.76</f>
        <v>41402.51</v>
      </c>
      <c r="G244" s="18">
        <f>4817.91+13.22+7.04+1337.38+270.01+282.85</f>
        <v>6728.4100000000008</v>
      </c>
      <c r="H244" s="18">
        <f>6730.62</f>
        <v>6730.62</v>
      </c>
      <c r="I244" s="18">
        <f>6043.49</f>
        <v>6043.49</v>
      </c>
      <c r="J244" s="18">
        <f>11917.08</f>
        <v>11917.08</v>
      </c>
      <c r="K244" s="18">
        <f>45.19</f>
        <v>45.19</v>
      </c>
      <c r="L244" s="19">
        <f t="shared" si="4"/>
        <v>72867.3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f>1362.9</f>
        <v>1362.9</v>
      </c>
      <c r="G245" s="18">
        <f>104.26+9.31</f>
        <v>113.57000000000001</v>
      </c>
      <c r="H245" s="18"/>
      <c r="I245" s="18"/>
      <c r="J245" s="18"/>
      <c r="K245" s="18"/>
      <c r="L245" s="19">
        <f>SUM(F245:K245)</f>
        <v>1476.47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3858152.7199999997</v>
      </c>
      <c r="G247" s="41">
        <f t="shared" si="5"/>
        <v>1676992.1800000002</v>
      </c>
      <c r="H247" s="41">
        <f t="shared" si="5"/>
        <v>1104008.47</v>
      </c>
      <c r="I247" s="41">
        <f t="shared" si="5"/>
        <v>374285.56999999995</v>
      </c>
      <c r="J247" s="41">
        <f t="shared" si="5"/>
        <v>120752.11</v>
      </c>
      <c r="K247" s="41">
        <f t="shared" si="5"/>
        <v>32206.26</v>
      </c>
      <c r="L247" s="41">
        <f t="shared" si="5"/>
        <v>7166397.3100000005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9800368.0399999991</v>
      </c>
      <c r="G257" s="41">
        <f t="shared" si="8"/>
        <v>4145452.7399999998</v>
      </c>
      <c r="H257" s="41">
        <f t="shared" si="8"/>
        <v>2324236.7599999998</v>
      </c>
      <c r="I257" s="41">
        <f t="shared" si="8"/>
        <v>836126.45</v>
      </c>
      <c r="J257" s="41">
        <f t="shared" si="8"/>
        <v>560656.78</v>
      </c>
      <c r="K257" s="41">
        <f t="shared" si="8"/>
        <v>58868.17</v>
      </c>
      <c r="L257" s="41">
        <f t="shared" si="8"/>
        <v>17725708.939999998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9800368.0399999991</v>
      </c>
      <c r="G271" s="42">
        <f t="shared" si="11"/>
        <v>4145452.7399999998</v>
      </c>
      <c r="H271" s="42">
        <f t="shared" si="11"/>
        <v>2324236.7599999998</v>
      </c>
      <c r="I271" s="42">
        <f t="shared" si="11"/>
        <v>836126.45</v>
      </c>
      <c r="J271" s="42">
        <f t="shared" si="11"/>
        <v>560656.78</v>
      </c>
      <c r="K271" s="42">
        <f t="shared" si="11"/>
        <v>58868.17</v>
      </c>
      <c r="L271" s="42">
        <f t="shared" si="11"/>
        <v>17725708.939999998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33888.84</f>
        <v>33888.839999999997</v>
      </c>
      <c r="G276" s="18">
        <f>119.92+5153.58</f>
        <v>5273.5</v>
      </c>
      <c r="H276" s="18">
        <f>2032.24+3949.3</f>
        <v>5981.54</v>
      </c>
      <c r="I276" s="18">
        <f>29103.47</f>
        <v>29103.47</v>
      </c>
      <c r="J276" s="18">
        <f>4920+5006.99</f>
        <v>9926.99</v>
      </c>
      <c r="K276" s="18">
        <f>300</f>
        <v>300</v>
      </c>
      <c r="L276" s="19">
        <f>SUM(F276:K276)</f>
        <v>84474.340000000011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22720.88+460998.51</f>
        <v>483719.39</v>
      </c>
      <c r="G277" s="18">
        <f>15803.66+135600.95</f>
        <v>151404.61000000002</v>
      </c>
      <c r="H277" s="18">
        <f>358.75+15589.14</f>
        <v>15947.89</v>
      </c>
      <c r="I277" s="18">
        <f>26098.16</f>
        <v>26098.16</v>
      </c>
      <c r="J277" s="18">
        <f>2013.27+24401.59</f>
        <v>26414.86</v>
      </c>
      <c r="K277" s="18">
        <f>309.26+16590</f>
        <v>16899.259999999998</v>
      </c>
      <c r="L277" s="19">
        <f>SUM(F277:K277)</f>
        <v>720484.17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127307.25</f>
        <v>127307.25</v>
      </c>
      <c r="G279" s="18">
        <f>28158.58</f>
        <v>28158.58</v>
      </c>
      <c r="H279" s="18">
        <f>3654.16+307.17</f>
        <v>3961.33</v>
      </c>
      <c r="I279" s="18">
        <f>865.67+1230</f>
        <v>2095.67</v>
      </c>
      <c r="J279" s="18"/>
      <c r="K279" s="18"/>
      <c r="L279" s="19">
        <f>SUM(F279:K279)</f>
        <v>161522.83000000002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3662.44+62349.5+23018.4</f>
        <v>89030.34</v>
      </c>
      <c r="G281" s="18">
        <f>1957.13+26569.95+1760.94</f>
        <v>30288.02</v>
      </c>
      <c r="H281" s="18">
        <f>109450.02</f>
        <v>109450.02</v>
      </c>
      <c r="I281" s="18"/>
      <c r="J281" s="18"/>
      <c r="K281" s="18"/>
      <c r="L281" s="19">
        <f t="shared" ref="L281:L287" si="12">SUM(F281:K281)</f>
        <v>228768.38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f>5299.13+14626.29+10550.99</f>
        <v>30476.410000000003</v>
      </c>
      <c r="I282" s="18"/>
      <c r="J282" s="18"/>
      <c r="K282" s="18"/>
      <c r="L282" s="19">
        <f t="shared" si="12"/>
        <v>30476.410000000003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34998.55</f>
        <v>34998.550000000003</v>
      </c>
      <c r="G283" s="18">
        <f>14894.83</f>
        <v>14894.83</v>
      </c>
      <c r="H283" s="18">
        <f>9154.77</f>
        <v>9154.77</v>
      </c>
      <c r="I283" s="18">
        <f>4828.37</f>
        <v>4828.37</v>
      </c>
      <c r="J283" s="18">
        <f>7.76</f>
        <v>7.76</v>
      </c>
      <c r="K283" s="18">
        <f>19.02+10552.92</f>
        <v>10571.94</v>
      </c>
      <c r="L283" s="19">
        <f t="shared" si="12"/>
        <v>74456.220000000016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2535.21+2193.11</f>
        <v>4728.32</v>
      </c>
      <c r="I287" s="18"/>
      <c r="J287" s="18"/>
      <c r="K287" s="18"/>
      <c r="L287" s="19">
        <f t="shared" si="12"/>
        <v>4728.32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768944.37</v>
      </c>
      <c r="G290" s="42">
        <f t="shared" si="13"/>
        <v>230019.53999999998</v>
      </c>
      <c r="H290" s="42">
        <f t="shared" si="13"/>
        <v>179700.28</v>
      </c>
      <c r="I290" s="42">
        <f t="shared" si="13"/>
        <v>62125.670000000006</v>
      </c>
      <c r="J290" s="42">
        <f t="shared" si="13"/>
        <v>36349.61</v>
      </c>
      <c r="K290" s="42">
        <f t="shared" si="13"/>
        <v>27771.199999999997</v>
      </c>
      <c r="L290" s="41">
        <f t="shared" si="13"/>
        <v>1304910.6700000002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4900</f>
        <v>4900</v>
      </c>
      <c r="G295" s="18">
        <f>1142.68</f>
        <v>1142.68</v>
      </c>
      <c r="H295" s="18"/>
      <c r="I295" s="18">
        <f>446.1+500</f>
        <v>946.1</v>
      </c>
      <c r="J295" s="18">
        <f>1080+2500</f>
        <v>3580</v>
      </c>
      <c r="K295" s="18"/>
      <c r="L295" s="19">
        <f>SUM(F295:K295)</f>
        <v>10568.78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15516.7</f>
        <v>15516.7</v>
      </c>
      <c r="G296" s="18">
        <f>10792.75</f>
        <v>10792.75</v>
      </c>
      <c r="H296" s="18">
        <f>245</f>
        <v>245</v>
      </c>
      <c r="I296" s="18"/>
      <c r="J296" s="18">
        <f>305.81</f>
        <v>305.81</v>
      </c>
      <c r="K296" s="18"/>
      <c r="L296" s="19">
        <f>SUM(F296:K296)</f>
        <v>26860.260000000002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f>27945.49</f>
        <v>27945.49</v>
      </c>
      <c r="G298" s="18">
        <f>6181.15</f>
        <v>6181.15</v>
      </c>
      <c r="H298" s="18">
        <f>802.13+67.43</f>
        <v>869.56</v>
      </c>
      <c r="I298" s="18">
        <f>190.02+270</f>
        <v>460.02</v>
      </c>
      <c r="J298" s="18"/>
      <c r="K298" s="18"/>
      <c r="L298" s="19">
        <f>SUM(F298:K298)</f>
        <v>35456.219999999994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2005.63+34915.72</f>
        <v>36921.35</v>
      </c>
      <c r="G300" s="18">
        <f>1071.77+14879.17</f>
        <v>15950.94</v>
      </c>
      <c r="H300" s="18">
        <f>59936.92</f>
        <v>59936.92</v>
      </c>
      <c r="I300" s="18"/>
      <c r="J300" s="18"/>
      <c r="K300" s="18"/>
      <c r="L300" s="19">
        <f t="shared" ref="L300:L306" si="14">SUM(F300:K300)</f>
        <v>112809.20999999999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f>2901.91+8009.64+7856.68</f>
        <v>18768.23</v>
      </c>
      <c r="I301" s="18"/>
      <c r="J301" s="18"/>
      <c r="K301" s="18"/>
      <c r="L301" s="19">
        <f t="shared" si="14"/>
        <v>18768.23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f>19165.87</f>
        <v>19165.87</v>
      </c>
      <c r="G302" s="18">
        <f>8156.69</f>
        <v>8156.69</v>
      </c>
      <c r="H302" s="18">
        <f>5013.33</f>
        <v>5013.33</v>
      </c>
      <c r="I302" s="18">
        <f>2644.11</f>
        <v>2644.11</v>
      </c>
      <c r="J302" s="18">
        <f>4.26</f>
        <v>4.26</v>
      </c>
      <c r="K302" s="18">
        <f>10.42+5778.98</f>
        <v>5789.4</v>
      </c>
      <c r="L302" s="19">
        <f t="shared" si="14"/>
        <v>40773.660000000003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f>556.51+481.42</f>
        <v>1037.93</v>
      </c>
      <c r="I306" s="18"/>
      <c r="J306" s="18"/>
      <c r="K306" s="18"/>
      <c r="L306" s="19">
        <f t="shared" si="14"/>
        <v>1037.93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104449.41</v>
      </c>
      <c r="G309" s="42">
        <f t="shared" si="15"/>
        <v>42224.210000000006</v>
      </c>
      <c r="H309" s="42">
        <f t="shared" si="15"/>
        <v>85870.969999999987</v>
      </c>
      <c r="I309" s="42">
        <f t="shared" si="15"/>
        <v>4050.23</v>
      </c>
      <c r="J309" s="42">
        <f t="shared" si="15"/>
        <v>3890.07</v>
      </c>
      <c r="K309" s="42">
        <f t="shared" si="15"/>
        <v>5789.4</v>
      </c>
      <c r="L309" s="41">
        <f t="shared" si="15"/>
        <v>246274.28999999998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2200</f>
        <v>2200</v>
      </c>
      <c r="G314" s="18">
        <v>513.04</v>
      </c>
      <c r="H314" s="18"/>
      <c r="I314" s="18"/>
      <c r="J314" s="18"/>
      <c r="K314" s="18"/>
      <c r="L314" s="19">
        <f>SUM(F314:K314)</f>
        <v>2713.04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17179.2</f>
        <v>17179.2</v>
      </c>
      <c r="G315" s="18">
        <f>11949.11</f>
        <v>11949.11</v>
      </c>
      <c r="H315" s="18">
        <f>271.25+50000</f>
        <v>50271.25</v>
      </c>
      <c r="I315" s="18"/>
      <c r="J315" s="18">
        <f>229.36</f>
        <v>229.36</v>
      </c>
      <c r="K315" s="18"/>
      <c r="L315" s="19">
        <f>SUM(F315:K315)</f>
        <v>79628.92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>
        <f>3436.94</f>
        <v>3436.94</v>
      </c>
      <c r="I316" s="18">
        <f>5074</f>
        <v>5074</v>
      </c>
      <c r="J316" s="18">
        <f>47396.07</f>
        <v>47396.07</v>
      </c>
      <c r="K316" s="18">
        <f>1824.95</f>
        <v>1824.95</v>
      </c>
      <c r="L316" s="19">
        <f>SUM(F316:K316)</f>
        <v>57731.96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3052.04+27433.78+21352.56</f>
        <v>51838.380000000005</v>
      </c>
      <c r="G319" s="18">
        <f>1630.95+11690.78+1735.16</f>
        <v>15056.890000000001</v>
      </c>
      <c r="H319" s="18">
        <f>91208.35+360</f>
        <v>91568.35</v>
      </c>
      <c r="I319" s="18">
        <f>3122.05</f>
        <v>3122.05</v>
      </c>
      <c r="J319" s="18">
        <f>289.99</f>
        <v>289.99</v>
      </c>
      <c r="K319" s="18"/>
      <c r="L319" s="19">
        <f t="shared" ref="L319:L325" si="16">SUM(F319:K319)</f>
        <v>161875.65999999997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f>4415.94+12188.58+23821.47</f>
        <v>40425.990000000005</v>
      </c>
      <c r="I320" s="18">
        <f>250</f>
        <v>250</v>
      </c>
      <c r="J320" s="18"/>
      <c r="K320" s="18"/>
      <c r="L320" s="19">
        <f t="shared" si="16"/>
        <v>40675.990000000005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f>29165.45</f>
        <v>29165.45</v>
      </c>
      <c r="G321" s="18">
        <f>12412.36</f>
        <v>12412.36</v>
      </c>
      <c r="H321" s="18">
        <f>7628.98</f>
        <v>7628.98</v>
      </c>
      <c r="I321" s="18">
        <f>4023.65</f>
        <v>4023.65</v>
      </c>
      <c r="J321" s="18">
        <f>6.48</f>
        <v>6.48</v>
      </c>
      <c r="K321" s="18">
        <f>15.86+8794.1</f>
        <v>8809.9600000000009</v>
      </c>
      <c r="L321" s="19">
        <f t="shared" si="16"/>
        <v>62046.879999999997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100383.03</v>
      </c>
      <c r="G328" s="42">
        <f t="shared" si="17"/>
        <v>39931.4</v>
      </c>
      <c r="H328" s="42">
        <f t="shared" si="17"/>
        <v>193331.51000000004</v>
      </c>
      <c r="I328" s="42">
        <f t="shared" si="17"/>
        <v>12469.699999999999</v>
      </c>
      <c r="J328" s="42">
        <f t="shared" si="17"/>
        <v>47921.9</v>
      </c>
      <c r="K328" s="42">
        <f t="shared" si="17"/>
        <v>10634.910000000002</v>
      </c>
      <c r="L328" s="41">
        <f t="shared" si="17"/>
        <v>404672.44999999995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973776.81</v>
      </c>
      <c r="G338" s="41">
        <f t="shared" si="20"/>
        <v>312175.15000000002</v>
      </c>
      <c r="H338" s="41">
        <f t="shared" si="20"/>
        <v>458902.76</v>
      </c>
      <c r="I338" s="41">
        <f t="shared" si="20"/>
        <v>78645.600000000006</v>
      </c>
      <c r="J338" s="41">
        <f t="shared" si="20"/>
        <v>88161.58</v>
      </c>
      <c r="K338" s="41">
        <f t="shared" si="20"/>
        <v>44195.51</v>
      </c>
      <c r="L338" s="41">
        <f t="shared" si="20"/>
        <v>1955857.4100000001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f>177640.47+19192.41+594.96</f>
        <v>197427.84</v>
      </c>
      <c r="L350" s="19">
        <f t="shared" si="21"/>
        <v>197427.84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197427.84</v>
      </c>
      <c r="L351" s="41">
        <f>SUM(L341:L350)</f>
        <v>197427.84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973776.81</v>
      </c>
      <c r="G352" s="41">
        <f>G338</f>
        <v>312175.15000000002</v>
      </c>
      <c r="H352" s="41">
        <f>H338</f>
        <v>458902.76</v>
      </c>
      <c r="I352" s="41">
        <f>I338</f>
        <v>78645.600000000006</v>
      </c>
      <c r="J352" s="41">
        <f>J338</f>
        <v>88161.58</v>
      </c>
      <c r="K352" s="47">
        <f>K338+K351</f>
        <v>241623.35</v>
      </c>
      <c r="L352" s="41">
        <f>L338+L351</f>
        <v>2153285.25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112960.82+5171.61</f>
        <v>118132.43000000001</v>
      </c>
      <c r="G358" s="18">
        <f>20979.96+395.57</f>
        <v>21375.53</v>
      </c>
      <c r="H358" s="18">
        <f>6364.94+570</f>
        <v>6934.94</v>
      </c>
      <c r="I358" s="18">
        <f>118659</f>
        <v>118659</v>
      </c>
      <c r="J358" s="18">
        <f>636.42</f>
        <v>636.41999999999996</v>
      </c>
      <c r="K358" s="18">
        <f>869.35</f>
        <v>869.35</v>
      </c>
      <c r="L358" s="13">
        <f>SUM(F358:K358)</f>
        <v>266607.67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56480.41</f>
        <v>56480.41</v>
      </c>
      <c r="G359" s="18">
        <f>10489.98</f>
        <v>10489.98</v>
      </c>
      <c r="H359" s="18">
        <f>3471.78+285</f>
        <v>3756.78</v>
      </c>
      <c r="I359" s="18">
        <f>64723.09</f>
        <v>64723.09</v>
      </c>
      <c r="J359" s="18">
        <f>347.14</f>
        <v>347.14</v>
      </c>
      <c r="K359" s="18">
        <f>474.19</f>
        <v>474.19</v>
      </c>
      <c r="L359" s="19">
        <f>SUM(F359:K359)</f>
        <v>136271.59000000003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112960.82</f>
        <v>112960.82</v>
      </c>
      <c r="G360" s="18">
        <f>20979.97</f>
        <v>20979.97</v>
      </c>
      <c r="H360" s="18">
        <f>4629.04+570</f>
        <v>5199.04</v>
      </c>
      <c r="I360" s="18">
        <f>86297.46</f>
        <v>86297.46</v>
      </c>
      <c r="J360" s="18">
        <f>462.85</f>
        <v>462.85</v>
      </c>
      <c r="K360" s="18">
        <f>632.26</f>
        <v>632.26</v>
      </c>
      <c r="L360" s="19">
        <f>SUM(F360:K360)</f>
        <v>226532.40000000005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287573.66000000003</v>
      </c>
      <c r="G362" s="47">
        <f t="shared" si="22"/>
        <v>52845.479999999996</v>
      </c>
      <c r="H362" s="47">
        <f t="shared" si="22"/>
        <v>15890.759999999998</v>
      </c>
      <c r="I362" s="47">
        <f t="shared" si="22"/>
        <v>269679.55</v>
      </c>
      <c r="J362" s="47">
        <f t="shared" si="22"/>
        <v>1446.4099999999999</v>
      </c>
      <c r="K362" s="47">
        <f t="shared" si="22"/>
        <v>1975.8</v>
      </c>
      <c r="L362" s="47">
        <f t="shared" si="22"/>
        <v>629411.66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109199.86</f>
        <v>109199.86</v>
      </c>
      <c r="G367" s="18">
        <f>59563.56</f>
        <v>59563.56</v>
      </c>
      <c r="H367" s="18">
        <f>79418.08</f>
        <v>79418.080000000002</v>
      </c>
      <c r="I367" s="56">
        <f>SUM(F367:H367)</f>
        <v>248181.5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9459.14</f>
        <v>9459.14</v>
      </c>
      <c r="G368" s="63">
        <f>5159.53</f>
        <v>5159.53</v>
      </c>
      <c r="H368" s="63">
        <f>6879.38</f>
        <v>6879.38</v>
      </c>
      <c r="I368" s="56">
        <f>SUM(F368:H368)</f>
        <v>21498.05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118659</v>
      </c>
      <c r="G369" s="47">
        <f>SUM(G367:G368)</f>
        <v>64723.09</v>
      </c>
      <c r="H369" s="47">
        <f>SUM(H367:H368)</f>
        <v>86297.46</v>
      </c>
      <c r="I369" s="47">
        <f>SUM(I367:I368)</f>
        <v>269679.55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/>
      <c r="G465" s="18">
        <v>1585.54</v>
      </c>
      <c r="H465" s="18">
        <v>28862.09</v>
      </c>
      <c r="I465" s="18"/>
      <c r="J465" s="18"/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17725708.940000001</v>
      </c>
      <c r="G468" s="18">
        <v>639927.83000000007</v>
      </c>
      <c r="H468" s="18">
        <v>2149064.1</v>
      </c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1425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17725708.940000001</v>
      </c>
      <c r="G470" s="53">
        <f>SUM(G468:G469)</f>
        <v>641352.83000000007</v>
      </c>
      <c r="H470" s="53">
        <f>SUM(H468:H469)</f>
        <v>2149064.1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17725708.939999998</v>
      </c>
      <c r="G472" s="18">
        <v>629411.66</v>
      </c>
      <c r="H472" s="18">
        <v>2153285.25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>
        <v>1425</v>
      </c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17725708.939999998</v>
      </c>
      <c r="G474" s="53">
        <f>SUM(G472:G473)</f>
        <v>629411.66</v>
      </c>
      <c r="H474" s="53">
        <f>SUM(H472:H473)</f>
        <v>2154710.25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0</v>
      </c>
      <c r="G476" s="53">
        <f>(G465+G470)- G474</f>
        <v>13526.710000000079</v>
      </c>
      <c r="H476" s="53">
        <f>(H465+H470)- H474</f>
        <v>23215.939999999944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917</v>
      </c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>
        <v>29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1713290</v>
      </c>
      <c r="G493" s="18">
        <v>357204.63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4.3</v>
      </c>
      <c r="G494" s="18">
        <v>2.85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201677.89</v>
      </c>
      <c r="G495" s="18">
        <v>230589.33</v>
      </c>
      <c r="H495" s="18"/>
      <c r="I495" s="18"/>
      <c r="J495" s="18"/>
      <c r="K495" s="53">
        <f>SUM(F495:J495)</f>
        <v>432267.22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201677.89</v>
      </c>
      <c r="G497" s="18">
        <v>17928</v>
      </c>
      <c r="H497" s="18"/>
      <c r="I497" s="18"/>
      <c r="J497" s="18"/>
      <c r="K497" s="53">
        <f t="shared" si="35"/>
        <v>219605.89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>
        <v>212661.33</v>
      </c>
      <c r="H498" s="204"/>
      <c r="I498" s="204"/>
      <c r="J498" s="204"/>
      <c r="K498" s="205">
        <f t="shared" si="35"/>
        <v>212661.33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>
        <v>49521.784</v>
      </c>
      <c r="H499" s="18"/>
      <c r="I499" s="18"/>
      <c r="J499" s="18"/>
      <c r="K499" s="53">
        <f t="shared" si="35"/>
        <v>49521.784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262183.114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262183.114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>
        <v>193737.33</v>
      </c>
      <c r="H501" s="204"/>
      <c r="I501" s="204"/>
      <c r="J501" s="204"/>
      <c r="K501" s="205">
        <f t="shared" si="35"/>
        <v>193737.33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0</v>
      </c>
      <c r="G502" s="18">
        <v>39319.423999999992</v>
      </c>
      <c r="H502" s="18"/>
      <c r="I502" s="18"/>
      <c r="J502" s="18"/>
      <c r="K502" s="53">
        <f t="shared" si="35"/>
        <v>39319.423999999992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233056.75399999999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233056.75399999999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38337.55+12399.22+751174.22+21636.38+22720.88</f>
        <v>846268.25</v>
      </c>
      <c r="G521" s="18">
        <f>948.61+6251.61+242203.22+1655.25+15803.66</f>
        <v>266862.34999999998</v>
      </c>
      <c r="H521" s="18">
        <f>49915.28+41231.74+16823.06+358.75</f>
        <v>108328.82999999999</v>
      </c>
      <c r="I521" s="18">
        <f>248.52+2905.55</f>
        <v>3154.07</v>
      </c>
      <c r="J521" s="18">
        <f>237.95+2013.27+2282</f>
        <v>4533.2199999999993</v>
      </c>
      <c r="K521" s="18"/>
      <c r="L521" s="88">
        <f>SUM(F521:K521)</f>
        <v>1229146.7200000002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5823.42+8467.76+459897.08+15516.7</f>
        <v>489704.96000000002</v>
      </c>
      <c r="G522" s="18">
        <f>647.84+949.61+173242.53+10792.75</f>
        <v>185632.73</v>
      </c>
      <c r="H522" s="18">
        <f>34088.48+36870.4+245</f>
        <v>71203.88</v>
      </c>
      <c r="I522" s="18">
        <f>37.75+1101.75</f>
        <v>1139.5</v>
      </c>
      <c r="J522" s="18">
        <f>305.81</f>
        <v>305.81</v>
      </c>
      <c r="K522" s="18"/>
      <c r="L522" s="88">
        <f>SUM(F522:K522)</f>
        <v>747986.88000000012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4367.57+9375.02+420863.95+17179.2</f>
        <v>451785.74000000005</v>
      </c>
      <c r="G523" s="18">
        <f>717.25+712.21+143117.7+11949.11</f>
        <v>156496.27000000002</v>
      </c>
      <c r="H523" s="18">
        <f>37740.82+619154.42+271.25</f>
        <v>657166.49</v>
      </c>
      <c r="I523" s="18">
        <f>28.31+1693.68</f>
        <v>1721.99</v>
      </c>
      <c r="J523" s="18">
        <f>229.36</f>
        <v>229.36</v>
      </c>
      <c r="K523" s="18"/>
      <c r="L523" s="88">
        <f>SUM(F523:K523)</f>
        <v>1267399.8500000001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1787758.95</v>
      </c>
      <c r="G524" s="108">
        <f t="shared" ref="G524:L524" si="36">SUM(G521:G523)</f>
        <v>608991.35</v>
      </c>
      <c r="H524" s="108">
        <f t="shared" si="36"/>
        <v>836699.2</v>
      </c>
      <c r="I524" s="108">
        <f t="shared" si="36"/>
        <v>6015.5599999999995</v>
      </c>
      <c r="J524" s="108">
        <f t="shared" si="36"/>
        <v>5068.3899999999994</v>
      </c>
      <c r="K524" s="108">
        <f t="shared" si="36"/>
        <v>0</v>
      </c>
      <c r="L524" s="89">
        <f t="shared" si="36"/>
        <v>3244533.45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78774.57+111706.92+62349.5+23018.4</f>
        <v>275849.39</v>
      </c>
      <c r="G526" s="18">
        <f>34935.94+46859.81+26569.95+1760.94</f>
        <v>110126.64</v>
      </c>
      <c r="H526" s="18">
        <f>785+9297.05+194014.36+9977.38+24882.5+149.5+224.25</f>
        <v>239330.03999999998</v>
      </c>
      <c r="I526" s="18">
        <f>75.36+2039.31</f>
        <v>2114.67</v>
      </c>
      <c r="J526" s="18"/>
      <c r="K526" s="18"/>
      <c r="L526" s="88">
        <f>SUM(F526:K526)</f>
        <v>627420.74000000011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21483.98+62555.88+34915.72</f>
        <v>118955.58</v>
      </c>
      <c r="G527" s="18">
        <f>9527.98+26241.49+14879.17</f>
        <v>50648.639999999999</v>
      </c>
      <c r="H527" s="18">
        <f>439.6+5206.35+25712.75+986.77</f>
        <v>32345.47</v>
      </c>
      <c r="I527" s="18">
        <f>20.55+1142.02</f>
        <v>1162.57</v>
      </c>
      <c r="J527" s="18"/>
      <c r="K527" s="18"/>
      <c r="L527" s="88">
        <f>SUM(F527:K527)</f>
        <v>203112.26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42967.95+49151.05+21819.2+27433.78</f>
        <v>141371.97999999998</v>
      </c>
      <c r="G528" s="18">
        <f>19055.97+20618.31+12741.18+11690.78</f>
        <v>64106.239999999998</v>
      </c>
      <c r="H528" s="18">
        <f>345.4+4090.7+14025.14</f>
        <v>18461.239999999998</v>
      </c>
      <c r="I528" s="18">
        <f>41.11+897.3</f>
        <v>938.41</v>
      </c>
      <c r="J528" s="18"/>
      <c r="K528" s="18"/>
      <c r="L528" s="88">
        <f>SUM(F528:K528)</f>
        <v>224877.86999999997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536176.94999999995</v>
      </c>
      <c r="G529" s="89">
        <f t="shared" ref="G529:L529" si="37">SUM(G526:G528)</f>
        <v>224881.52</v>
      </c>
      <c r="H529" s="89">
        <f t="shared" si="37"/>
        <v>290136.75</v>
      </c>
      <c r="I529" s="89">
        <f t="shared" si="37"/>
        <v>4215.6499999999996</v>
      </c>
      <c r="J529" s="89">
        <f t="shared" si="37"/>
        <v>0</v>
      </c>
      <c r="K529" s="89">
        <f t="shared" si="37"/>
        <v>0</v>
      </c>
      <c r="L529" s="89">
        <f t="shared" si="37"/>
        <v>1055410.8700000001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44924.45</f>
        <v>44924.45</v>
      </c>
      <c r="G531" s="18">
        <f>10312.34</f>
        <v>10312.34</v>
      </c>
      <c r="H531" s="18">
        <f>2957.86</f>
        <v>2957.86</v>
      </c>
      <c r="I531" s="18">
        <f>4563.53</f>
        <v>4563.53</v>
      </c>
      <c r="J531" s="18">
        <f>711.12</f>
        <v>711.12</v>
      </c>
      <c r="K531" s="18">
        <f>184.5</f>
        <v>184.5</v>
      </c>
      <c r="L531" s="88">
        <f>SUM(F531:K531)</f>
        <v>63653.799999999996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30680.12</f>
        <v>30680.12</v>
      </c>
      <c r="G532" s="18">
        <f>7042.57</f>
        <v>7042.57</v>
      </c>
      <c r="H532" s="18">
        <f>2020.01</f>
        <v>2020.01</v>
      </c>
      <c r="I532" s="18">
        <f>693.19</f>
        <v>693.19</v>
      </c>
      <c r="J532" s="18">
        <f>485.65</f>
        <v>485.65</v>
      </c>
      <c r="K532" s="18">
        <f>126</f>
        <v>126</v>
      </c>
      <c r="L532" s="88">
        <f>SUM(F532:K532)</f>
        <v>41047.540000000008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33967.27</f>
        <v>33967.269999999997</v>
      </c>
      <c r="G533" s="18">
        <f>7797.13</f>
        <v>7797.13</v>
      </c>
      <c r="H533" s="18">
        <f>2236.44</f>
        <v>2236.44</v>
      </c>
      <c r="I533" s="18">
        <f>519.9</f>
        <v>519.9</v>
      </c>
      <c r="J533" s="18">
        <f>537.68</f>
        <v>537.67999999999995</v>
      </c>
      <c r="K533" s="18">
        <f>139.5</f>
        <v>139.5</v>
      </c>
      <c r="L533" s="88">
        <f>SUM(F533:K533)</f>
        <v>45197.919999999998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109571.84</v>
      </c>
      <c r="G534" s="89">
        <f t="shared" ref="G534:L534" si="38">SUM(G531:G533)</f>
        <v>25152.04</v>
      </c>
      <c r="H534" s="89">
        <f t="shared" si="38"/>
        <v>7214.3099999999995</v>
      </c>
      <c r="I534" s="89">
        <f t="shared" si="38"/>
        <v>5776.619999999999</v>
      </c>
      <c r="J534" s="89">
        <f t="shared" si="38"/>
        <v>1734.4499999999998</v>
      </c>
      <c r="K534" s="89">
        <f t="shared" si="38"/>
        <v>450</v>
      </c>
      <c r="L534" s="89">
        <f t="shared" si="38"/>
        <v>149899.26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f>1517.39+220.49</f>
        <v>1737.88</v>
      </c>
      <c r="G541" s="18">
        <f>116.08+16.85</f>
        <v>132.93</v>
      </c>
      <c r="H541" s="18"/>
      <c r="I541" s="18"/>
      <c r="J541" s="18"/>
      <c r="K541" s="18"/>
      <c r="L541" s="88">
        <f>SUM(F541:K541)</f>
        <v>1870.8100000000002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f>230.49+16.23</f>
        <v>246.72</v>
      </c>
      <c r="G542" s="18">
        <f>17.63+1.23</f>
        <v>18.86</v>
      </c>
      <c r="H542" s="18"/>
      <c r="I542" s="18"/>
      <c r="J542" s="18"/>
      <c r="K542" s="18"/>
      <c r="L542" s="88">
        <f>SUM(F542:K542)</f>
        <v>265.58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f>172.87+92.05</f>
        <v>264.92</v>
      </c>
      <c r="G543" s="18">
        <f>13.22+7.04</f>
        <v>20.260000000000002</v>
      </c>
      <c r="H543" s="18"/>
      <c r="I543" s="18"/>
      <c r="J543" s="18"/>
      <c r="K543" s="18"/>
      <c r="L543" s="88">
        <f>SUM(F543:K543)</f>
        <v>285.18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2249.52</v>
      </c>
      <c r="G544" s="193">
        <f t="shared" ref="G544:L544" si="40">SUM(G541:G543)</f>
        <v>172.05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2421.5700000000002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2435757.2599999998</v>
      </c>
      <c r="G545" s="89">
        <f t="shared" ref="G545:L545" si="41">G524+G529+G534+G539+G544</f>
        <v>859196.96000000008</v>
      </c>
      <c r="H545" s="89">
        <f t="shared" si="41"/>
        <v>1134050.26</v>
      </c>
      <c r="I545" s="89">
        <f t="shared" si="41"/>
        <v>16007.829999999998</v>
      </c>
      <c r="J545" s="89">
        <f t="shared" si="41"/>
        <v>6802.8399999999992</v>
      </c>
      <c r="K545" s="89">
        <f t="shared" si="41"/>
        <v>450</v>
      </c>
      <c r="L545" s="89">
        <f t="shared" si="41"/>
        <v>4452265.1500000004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1229146.7200000002</v>
      </c>
      <c r="G549" s="87">
        <f>L526</f>
        <v>627420.74000000011</v>
      </c>
      <c r="H549" s="87">
        <f>L531</f>
        <v>63653.799999999996</v>
      </c>
      <c r="I549" s="87">
        <f>L536</f>
        <v>0</v>
      </c>
      <c r="J549" s="87">
        <f>L541</f>
        <v>1870.8100000000002</v>
      </c>
      <c r="K549" s="87">
        <f>SUM(F549:J549)</f>
        <v>1922092.0700000005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747986.88000000012</v>
      </c>
      <c r="G550" s="87">
        <f>L527</f>
        <v>203112.26</v>
      </c>
      <c r="H550" s="87">
        <f>L532</f>
        <v>41047.540000000008</v>
      </c>
      <c r="I550" s="87">
        <f>L537</f>
        <v>0</v>
      </c>
      <c r="J550" s="87">
        <f>L542</f>
        <v>265.58</v>
      </c>
      <c r="K550" s="87">
        <f>SUM(F550:J550)</f>
        <v>992412.26000000013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1267399.8500000001</v>
      </c>
      <c r="G551" s="87">
        <f>L528</f>
        <v>224877.86999999997</v>
      </c>
      <c r="H551" s="87">
        <f>L533</f>
        <v>45197.919999999998</v>
      </c>
      <c r="I551" s="87">
        <f>L538</f>
        <v>0</v>
      </c>
      <c r="J551" s="87">
        <f>L543</f>
        <v>285.18</v>
      </c>
      <c r="K551" s="87">
        <f>SUM(F551:J551)</f>
        <v>1537760.8199999998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3244533.45</v>
      </c>
      <c r="G552" s="89">
        <f t="shared" si="42"/>
        <v>1055410.8700000001</v>
      </c>
      <c r="H552" s="89">
        <f t="shared" si="42"/>
        <v>149899.26</v>
      </c>
      <c r="I552" s="89">
        <f t="shared" si="42"/>
        <v>0</v>
      </c>
      <c r="J552" s="89">
        <f t="shared" si="42"/>
        <v>2421.5700000000002</v>
      </c>
      <c r="K552" s="89">
        <f t="shared" si="42"/>
        <v>4452265.1500000004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f>460998.51</f>
        <v>460998.51</v>
      </c>
      <c r="G557" s="18">
        <f>135600.95</f>
        <v>135600.95000000001</v>
      </c>
      <c r="H557" s="18">
        <f>15589.14</f>
        <v>15589.14</v>
      </c>
      <c r="I557" s="18">
        <f>26098.16</f>
        <v>26098.16</v>
      </c>
      <c r="J557" s="18">
        <f>24401.59</f>
        <v>24401.59</v>
      </c>
      <c r="K557" s="18">
        <f>309.26</f>
        <v>309.26</v>
      </c>
      <c r="L557" s="88">
        <f>SUM(F557:K557)</f>
        <v>662997.61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f>8242.6</f>
        <v>8242.6</v>
      </c>
      <c r="G558" s="18">
        <f>676.64</f>
        <v>676.64</v>
      </c>
      <c r="H558" s="18"/>
      <c r="I558" s="18"/>
      <c r="J558" s="18"/>
      <c r="K558" s="18"/>
      <c r="L558" s="88">
        <f>SUM(F558:K558)</f>
        <v>8919.24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>
        <f>17000+23836</f>
        <v>40836</v>
      </c>
      <c r="I559" s="18"/>
      <c r="J559" s="18"/>
      <c r="K559" s="18"/>
      <c r="L559" s="88">
        <f>SUM(F559:K559)</f>
        <v>40836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469241.11</v>
      </c>
      <c r="G560" s="108">
        <f t="shared" si="43"/>
        <v>136277.59000000003</v>
      </c>
      <c r="H560" s="108">
        <f t="shared" si="43"/>
        <v>56425.14</v>
      </c>
      <c r="I560" s="108">
        <f t="shared" si="43"/>
        <v>26098.16</v>
      </c>
      <c r="J560" s="108">
        <f t="shared" si="43"/>
        <v>24401.59</v>
      </c>
      <c r="K560" s="108">
        <f t="shared" si="43"/>
        <v>309.26</v>
      </c>
      <c r="L560" s="89">
        <f t="shared" si="43"/>
        <v>712752.85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469241.11</v>
      </c>
      <c r="G571" s="89">
        <f t="shared" ref="G571:L571" si="46">G560+G565+G570</f>
        <v>136277.59000000003</v>
      </c>
      <c r="H571" s="89">
        <f t="shared" si="46"/>
        <v>56425.14</v>
      </c>
      <c r="I571" s="89">
        <f t="shared" si="46"/>
        <v>26098.16</v>
      </c>
      <c r="J571" s="89">
        <f t="shared" si="46"/>
        <v>24401.59</v>
      </c>
      <c r="K571" s="89">
        <f t="shared" si="46"/>
        <v>309.26</v>
      </c>
      <c r="L571" s="89">
        <f t="shared" si="46"/>
        <v>712752.85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>
        <f>26337.15</f>
        <v>26337.15</v>
      </c>
      <c r="H578" s="18">
        <f>9900</f>
        <v>9900</v>
      </c>
      <c r="I578" s="87">
        <f t="shared" si="47"/>
        <v>36237.15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f>12951</f>
        <v>12951</v>
      </c>
      <c r="I579" s="87">
        <f t="shared" si="47"/>
        <v>12951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f>1185.22</f>
        <v>1185.22</v>
      </c>
      <c r="I580" s="87">
        <f t="shared" si="47"/>
        <v>1185.22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11918</v>
      </c>
      <c r="I581" s="87">
        <f t="shared" si="47"/>
        <v>11918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5535.32+35696.42+16823.06</f>
        <v>58054.8</v>
      </c>
      <c r="G582" s="18">
        <f>1754.2+35116.2</f>
        <v>36870.399999999994</v>
      </c>
      <c r="H582" s="18">
        <f>50475.75+542624.45</f>
        <v>593100.19999999995</v>
      </c>
      <c r="I582" s="87">
        <f t="shared" si="47"/>
        <v>688025.39999999991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198682.71+603.67</f>
        <v>199286.38</v>
      </c>
      <c r="I591" s="18">
        <f>106437.17+336.85</f>
        <v>106774.02</v>
      </c>
      <c r="J591" s="18">
        <f>49670.68+282.85</f>
        <v>49953.53</v>
      </c>
      <c r="K591" s="104">
        <f t="shared" ref="K591:K597" si="48">SUM(H591:J591)</f>
        <v>356013.93000000005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1633.47+237.34</f>
        <v>1870.81</v>
      </c>
      <c r="I592" s="18">
        <f>248.12+17.46</f>
        <v>265.58</v>
      </c>
      <c r="J592" s="18">
        <f>186.09+99.09</f>
        <v>285.18</v>
      </c>
      <c r="K592" s="104">
        <f t="shared" si="48"/>
        <v>2421.5699999999997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f>984.25</f>
        <v>984.25</v>
      </c>
      <c r="I594" s="18">
        <f>3804.37</f>
        <v>3804.37</v>
      </c>
      <c r="J594" s="18">
        <f>18825.82</f>
        <v>18825.82</v>
      </c>
      <c r="K594" s="104">
        <f t="shared" si="48"/>
        <v>23614.44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1538.73</f>
        <v>1538.73</v>
      </c>
      <c r="I595" s="18">
        <f>1702.41</f>
        <v>1702.41</v>
      </c>
      <c r="J595" s="18">
        <f>3802.77</f>
        <v>3802.77</v>
      </c>
      <c r="K595" s="104">
        <f t="shared" si="48"/>
        <v>7043.91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f>4106.92</f>
        <v>4106.92</v>
      </c>
      <c r="I597" s="18">
        <f>901.52</f>
        <v>901.52</v>
      </c>
      <c r="J597" s="18"/>
      <c r="K597" s="104">
        <f t="shared" si="48"/>
        <v>5008.4400000000005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207787.09000000003</v>
      </c>
      <c r="I598" s="108">
        <f>SUM(I591:I597)</f>
        <v>113447.90000000001</v>
      </c>
      <c r="J598" s="108">
        <f>SUM(J591:J597)</f>
        <v>72867.3</v>
      </c>
      <c r="K598" s="108">
        <f>SUM(K591:K597)</f>
        <v>394102.29000000004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274038.99</f>
        <v>274038.99</v>
      </c>
      <c r="I604" s="18">
        <f>205442.77</f>
        <v>205442.77</v>
      </c>
      <c r="J604" s="18">
        <f>169336.6</f>
        <v>169336.6</v>
      </c>
      <c r="K604" s="104">
        <f>SUM(H604:J604)</f>
        <v>648818.36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274038.99</v>
      </c>
      <c r="I605" s="108">
        <f>SUM(I602:I604)</f>
        <v>205442.77</v>
      </c>
      <c r="J605" s="108">
        <f>SUM(J602:J604)</f>
        <v>169336.6</v>
      </c>
      <c r="K605" s="108">
        <f>SUM(K602:K604)</f>
        <v>648818.36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0</v>
      </c>
      <c r="H617" s="109">
        <f>SUM(F52)</f>
        <v>0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13526.71</v>
      </c>
      <c r="H618" s="109">
        <f>SUM(G52)</f>
        <v>13526.71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23215.94</v>
      </c>
      <c r="H619" s="109">
        <f>SUM(H52)</f>
        <v>23215.94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13526.71</v>
      </c>
      <c r="H623" s="109">
        <f>G476</f>
        <v>13526.710000000079</v>
      </c>
      <c r="I623" s="121" t="s">
        <v>102</v>
      </c>
      <c r="J623" s="109">
        <f t="shared" si="50"/>
        <v>-8.0035533756017685E-11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23215.94</v>
      </c>
      <c r="H624" s="109">
        <f>H476</f>
        <v>23215.939999999944</v>
      </c>
      <c r="I624" s="121" t="s">
        <v>103</v>
      </c>
      <c r="J624" s="109">
        <f t="shared" si="50"/>
        <v>5.4569682106375694E-11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17725708.940000001</v>
      </c>
      <c r="H627" s="104">
        <f>SUM(F468)</f>
        <v>17725708.940000001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639927.83000000007</v>
      </c>
      <c r="H628" s="104">
        <f>SUM(G468)</f>
        <v>639927.83000000007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2149064.1</v>
      </c>
      <c r="H629" s="104">
        <f>SUM(H468)</f>
        <v>2149064.1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17725708.939999998</v>
      </c>
      <c r="H632" s="104">
        <f>SUM(F472)</f>
        <v>17725708.939999998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2153285.25</v>
      </c>
      <c r="H633" s="104">
        <f>SUM(H472)</f>
        <v>2153285.25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269679.55</v>
      </c>
      <c r="H634" s="104">
        <f>I369</f>
        <v>269679.55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629411.66</v>
      </c>
      <c r="H635" s="104">
        <f>SUM(G472)</f>
        <v>629411.66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394102.29000000004</v>
      </c>
      <c r="H647" s="104">
        <f>L208+L226+L244</f>
        <v>394102.29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648818.36</v>
      </c>
      <c r="H648" s="104">
        <f>(J257+J338)-(J255+J336)</f>
        <v>648818.36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207787.09</v>
      </c>
      <c r="H649" s="104">
        <f>H598</f>
        <v>207787.09000000003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113447.90000000001</v>
      </c>
      <c r="H650" s="104">
        <f>I598</f>
        <v>113447.90000000001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72867.3</v>
      </c>
      <c r="H651" s="104">
        <f>J598</f>
        <v>72867.3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7948827.4799999995</v>
      </c>
      <c r="G660" s="19">
        <f>(L229+L309+L359)</f>
        <v>4564548.3699999992</v>
      </c>
      <c r="H660" s="19">
        <f>(L247+L328+L360)</f>
        <v>7797602.1600000011</v>
      </c>
      <c r="I660" s="19">
        <f>SUM(F660:H660)</f>
        <v>20310978.009999998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87353.38024043628</v>
      </c>
      <c r="G661" s="19">
        <f>(L359/IF(SUM(L358:L360)=0,1,SUM(L358:L360))*(SUM(G97:G110)))</f>
        <v>44649.068112852256</v>
      </c>
      <c r="H661" s="19">
        <f>(L360/IF(SUM(L358:L360)=0,1,SUM(L358:L360))*(SUM(G97:G110)))</f>
        <v>74222.811646711489</v>
      </c>
      <c r="I661" s="19">
        <f>SUM(F661:H661)</f>
        <v>206225.26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164847.09</v>
      </c>
      <c r="G662" s="19">
        <f>(L226+L306)-(J226+J306)</f>
        <v>88949.23000000001</v>
      </c>
      <c r="H662" s="19">
        <f>(L244+L325)-(J244+J325)</f>
        <v>60950.22</v>
      </c>
      <c r="I662" s="19">
        <f>SUM(F662:H662)</f>
        <v>314746.54000000004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332093.78999999998</v>
      </c>
      <c r="G663" s="199">
        <f>SUM(G575:G587)+SUM(I602:I604)+L612</f>
        <v>268650.32</v>
      </c>
      <c r="H663" s="199">
        <f>SUM(H575:H587)+SUM(J602:J604)+L613</f>
        <v>798391.0199999999</v>
      </c>
      <c r="I663" s="19">
        <f>SUM(F663:H663)</f>
        <v>1399135.13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7364533.219759563</v>
      </c>
      <c r="G664" s="19">
        <f>G660-SUM(G661:G663)</f>
        <v>4162299.7518871468</v>
      </c>
      <c r="H664" s="19">
        <f>H660-SUM(H661:H663)</f>
        <v>6864038.1083532898</v>
      </c>
      <c r="I664" s="19">
        <f>I660-SUM(I661:I663)</f>
        <v>18390871.079999998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484.92</v>
      </c>
      <c r="G665" s="248">
        <v>273.75</v>
      </c>
      <c r="H665" s="248">
        <v>412.03</v>
      </c>
      <c r="I665" s="19">
        <f>SUM(F665:H665)</f>
        <v>1170.7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15187.11</v>
      </c>
      <c r="G667" s="19">
        <f>ROUND(G664/G665,2)</f>
        <v>15204.75</v>
      </c>
      <c r="H667" s="19">
        <f>ROUND(H664/H665,2)</f>
        <v>16659.07</v>
      </c>
      <c r="I667" s="19">
        <f>ROUND(I664/I665,2)</f>
        <v>15709.29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7</v>
      </c>
      <c r="I670" s="19">
        <f>SUM(F670:H670)</f>
        <v>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15187.11</v>
      </c>
      <c r="G672" s="19">
        <f>ROUND((G664+G669)/(G665+G670),2)</f>
        <v>15204.75</v>
      </c>
      <c r="H672" s="19">
        <f>ROUND((H664+H669)/(H665+H670),2)</f>
        <v>16380.78</v>
      </c>
      <c r="I672" s="19">
        <f>ROUND((I664+I669)/(I665+I670),2)</f>
        <v>15615.92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M20" sqref="M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Berlin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4594578.1400000006</v>
      </c>
      <c r="C9" s="229">
        <f>'DOE25'!G197+'DOE25'!G215+'DOE25'!G233+'DOE25'!G276+'DOE25'!G295+'DOE25'!G314</f>
        <v>2078737.4799999997</v>
      </c>
    </row>
    <row r="10" spans="1:3" x14ac:dyDescent="0.2">
      <c r="A10" t="s">
        <v>778</v>
      </c>
      <c r="B10" s="240">
        <v>4350503.0199999996</v>
      </c>
      <c r="C10" s="240">
        <v>2076151.51</v>
      </c>
    </row>
    <row r="11" spans="1:3" x14ac:dyDescent="0.2">
      <c r="A11" t="s">
        <v>779</v>
      </c>
      <c r="B11" s="240">
        <v>154524.25</v>
      </c>
      <c r="C11" s="240">
        <v>1637.18</v>
      </c>
    </row>
    <row r="12" spans="1:3" x14ac:dyDescent="0.2">
      <c r="A12" t="s">
        <v>780</v>
      </c>
      <c r="B12" s="240">
        <v>89550.87</v>
      </c>
      <c r="C12" s="240">
        <v>948.79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4594578.1399999997</v>
      </c>
      <c r="C13" s="231">
        <f>SUM(C10:C12)</f>
        <v>2078737.48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2278819.2600000002</v>
      </c>
      <c r="C18" s="229">
        <f>'DOE25'!G198+'DOE25'!G216+'DOE25'!G234+'DOE25'!G277+'DOE25'!G296+'DOE25'!G315</f>
        <v>770050.38</v>
      </c>
    </row>
    <row r="19" spans="1:3" x14ac:dyDescent="0.2">
      <c r="A19" t="s">
        <v>778</v>
      </c>
      <c r="B19" s="240">
        <f>1023922.35+21819.2</f>
        <v>1045741.5499999999</v>
      </c>
      <c r="C19" s="240">
        <f>652856.92+12741.18-0.01</f>
        <v>665598.09000000008</v>
      </c>
    </row>
    <row r="20" spans="1:3" x14ac:dyDescent="0.2">
      <c r="A20" t="s">
        <v>779</v>
      </c>
      <c r="B20" s="240">
        <v>1202835.71</v>
      </c>
      <c r="C20" s="240">
        <v>99636.88</v>
      </c>
    </row>
    <row r="21" spans="1:3" x14ac:dyDescent="0.2">
      <c r="A21" t="s">
        <v>780</v>
      </c>
      <c r="B21" s="240">
        <v>30242</v>
      </c>
      <c r="C21" s="240">
        <v>4815.41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2278819.2599999998</v>
      </c>
      <c r="C22" s="231">
        <f>SUM(C19:C21)</f>
        <v>770050.38000000012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449737.82</v>
      </c>
      <c r="C27" s="234">
        <f>'DOE25'!G199+'DOE25'!G217+'DOE25'!G235+'DOE25'!G278+'DOE25'!G297+'DOE25'!G316</f>
        <v>213125.97</v>
      </c>
    </row>
    <row r="28" spans="1:3" x14ac:dyDescent="0.2">
      <c r="A28" t="s">
        <v>778</v>
      </c>
      <c r="B28" s="240">
        <v>444926</v>
      </c>
      <c r="C28" s="240">
        <v>212724.7</v>
      </c>
    </row>
    <row r="29" spans="1:3" x14ac:dyDescent="0.2">
      <c r="A29" t="s">
        <v>779</v>
      </c>
      <c r="B29" s="240">
        <v>4811.82</v>
      </c>
      <c r="C29" s="240">
        <v>401.27</v>
      </c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449737.82</v>
      </c>
      <c r="C31" s="231">
        <f>SUM(C28:C30)</f>
        <v>213125.97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360886.69999999995</v>
      </c>
      <c r="C36" s="235">
        <f>'DOE25'!G200+'DOE25'!G218+'DOE25'!G236+'DOE25'!G279+'DOE25'!G298+'DOE25'!G317</f>
        <v>69810.11</v>
      </c>
    </row>
    <row r="37" spans="1:3" x14ac:dyDescent="0.2">
      <c r="A37" t="s">
        <v>778</v>
      </c>
      <c r="B37" s="240">
        <v>34069.47</v>
      </c>
      <c r="C37" s="240">
        <v>6962.74</v>
      </c>
    </row>
    <row r="38" spans="1:3" x14ac:dyDescent="0.2">
      <c r="A38" t="s">
        <v>779</v>
      </c>
      <c r="B38" s="240">
        <v>19697.490000000002</v>
      </c>
      <c r="C38" s="240">
        <v>1549.45</v>
      </c>
    </row>
    <row r="39" spans="1:3" x14ac:dyDescent="0.2">
      <c r="A39" t="s">
        <v>780</v>
      </c>
      <c r="B39" s="240">
        <v>307119.74</v>
      </c>
      <c r="C39" s="240">
        <v>61297.919999999998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360886.7</v>
      </c>
      <c r="C40" s="231">
        <f>SUM(C37:C39)</f>
        <v>69810.11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Berlin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11508885.199999999</v>
      </c>
      <c r="D5" s="20">
        <f>SUM('DOE25'!L197:L200)+SUM('DOE25'!L215:L218)+SUM('DOE25'!L233:L236)-F5-G5</f>
        <v>11284555.449999999</v>
      </c>
      <c r="E5" s="243"/>
      <c r="F5" s="255">
        <f>SUM('DOE25'!J197:J200)+SUM('DOE25'!J215:J218)+SUM('DOE25'!J233:J236)</f>
        <v>207604.71</v>
      </c>
      <c r="G5" s="53">
        <f>SUM('DOE25'!K197:K200)+SUM('DOE25'!K215:K218)+SUM('DOE25'!K233:K236)</f>
        <v>16725.04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1612029.14</v>
      </c>
      <c r="D6" s="20">
        <f>'DOE25'!L202+'DOE25'!L220+'DOE25'!L238-F6-G6</f>
        <v>1610409.27</v>
      </c>
      <c r="E6" s="243"/>
      <c r="F6" s="255">
        <f>'DOE25'!J202+'DOE25'!J220+'DOE25'!J238</f>
        <v>399.99</v>
      </c>
      <c r="G6" s="53">
        <f>'DOE25'!K202+'DOE25'!K220+'DOE25'!K238</f>
        <v>1219.8800000000001</v>
      </c>
      <c r="H6" s="259"/>
    </row>
    <row r="7" spans="1:9" x14ac:dyDescent="0.2">
      <c r="A7" s="32">
        <v>2200</v>
      </c>
      <c r="B7" t="s">
        <v>833</v>
      </c>
      <c r="C7" s="245">
        <f t="shared" si="0"/>
        <v>325460.81</v>
      </c>
      <c r="D7" s="20">
        <f>'DOE25'!L203+'DOE25'!L221+'DOE25'!L239-F7-G7</f>
        <v>324012</v>
      </c>
      <c r="E7" s="243"/>
      <c r="F7" s="255">
        <f>'DOE25'!J203+'DOE25'!J221+'DOE25'!J239</f>
        <v>1408.81</v>
      </c>
      <c r="G7" s="53">
        <f>'DOE25'!K203+'DOE25'!K221+'DOE25'!K239</f>
        <v>40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349892.72</v>
      </c>
      <c r="D8" s="243"/>
      <c r="E8" s="20">
        <f>'DOE25'!L204+'DOE25'!L222+'DOE25'!L240-F8-G8-D9-D11</f>
        <v>317825.19999999995</v>
      </c>
      <c r="F8" s="255">
        <f>'DOE25'!J204+'DOE25'!J222+'DOE25'!J240</f>
        <v>5399.45</v>
      </c>
      <c r="G8" s="53">
        <f>'DOE25'!K204+'DOE25'!K222+'DOE25'!K240</f>
        <v>26668.07</v>
      </c>
      <c r="H8" s="259"/>
    </row>
    <row r="9" spans="1:9" x14ac:dyDescent="0.2">
      <c r="A9" s="32">
        <v>2310</v>
      </c>
      <c r="B9" t="s">
        <v>817</v>
      </c>
      <c r="C9" s="245">
        <f t="shared" si="0"/>
        <v>18100.29</v>
      </c>
      <c r="D9" s="244">
        <v>18100.29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243088.67</v>
      </c>
      <c r="D11" s="244">
        <v>243088.67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897499.96</v>
      </c>
      <c r="D12" s="20">
        <f>'DOE25'!L205+'DOE25'!L223+'DOE25'!L241-F12-G12</f>
        <v>866868.51</v>
      </c>
      <c r="E12" s="243"/>
      <c r="F12" s="255">
        <f>'DOE25'!J205+'DOE25'!J223+'DOE25'!J241</f>
        <v>22707.48</v>
      </c>
      <c r="G12" s="53">
        <f>'DOE25'!K205+'DOE25'!K223+'DOE25'!K241</f>
        <v>7923.97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276223.52</v>
      </c>
      <c r="D13" s="243"/>
      <c r="E13" s="20">
        <f>'DOE25'!L206+'DOE25'!L224+'DOE25'!L242-F13-G13</f>
        <v>270255.06</v>
      </c>
      <c r="F13" s="255">
        <f>'DOE25'!J206+'DOE25'!J224+'DOE25'!J242</f>
        <v>0</v>
      </c>
      <c r="G13" s="53">
        <f>'DOE25'!K206+'DOE25'!K224+'DOE25'!K242</f>
        <v>5968.46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2096207.86</v>
      </c>
      <c r="D14" s="20">
        <f>'DOE25'!L207+'DOE25'!L225+'DOE25'!L243-F14-G14</f>
        <v>1858193.52</v>
      </c>
      <c r="E14" s="243"/>
      <c r="F14" s="255">
        <f>'DOE25'!J207+'DOE25'!J225+'DOE25'!J243</f>
        <v>238014.34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394102.29</v>
      </c>
      <c r="D15" s="20">
        <f>'DOE25'!L208+'DOE25'!L226+'DOE25'!L244-F15-G15</f>
        <v>308657.53999999998</v>
      </c>
      <c r="E15" s="243"/>
      <c r="F15" s="255">
        <f>'DOE25'!J208+'DOE25'!J226+'DOE25'!J244</f>
        <v>85122</v>
      </c>
      <c r="G15" s="53">
        <f>'DOE25'!K208+'DOE25'!K226+'DOE25'!K244</f>
        <v>322.75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4218.4800000000005</v>
      </c>
      <c r="D16" s="243"/>
      <c r="E16" s="20">
        <f>'DOE25'!L209+'DOE25'!L227+'DOE25'!L245-F16-G16</f>
        <v>4218.4800000000005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381230.16000000003</v>
      </c>
      <c r="D29" s="20">
        <f>'DOE25'!L358+'DOE25'!L359+'DOE25'!L360-'DOE25'!I367-F29-G29</f>
        <v>377807.95000000007</v>
      </c>
      <c r="E29" s="243"/>
      <c r="F29" s="255">
        <f>'DOE25'!J358+'DOE25'!J359+'DOE25'!J360</f>
        <v>1446.4099999999999</v>
      </c>
      <c r="G29" s="53">
        <f>'DOE25'!K358+'DOE25'!K359+'DOE25'!K360</f>
        <v>1975.8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1955857.4100000001</v>
      </c>
      <c r="D31" s="20">
        <f>'DOE25'!L290+'DOE25'!L309+'DOE25'!L328+'DOE25'!L333+'DOE25'!L334+'DOE25'!L335-F31-G31</f>
        <v>1823500.32</v>
      </c>
      <c r="E31" s="243"/>
      <c r="F31" s="255">
        <f>'DOE25'!J290+'DOE25'!J309+'DOE25'!J328+'DOE25'!J333+'DOE25'!J334+'DOE25'!J335</f>
        <v>88161.58</v>
      </c>
      <c r="G31" s="53">
        <f>'DOE25'!K290+'DOE25'!K309+'DOE25'!K328+'DOE25'!K333+'DOE25'!K334+'DOE25'!K335</f>
        <v>44195.51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18715193.519999996</v>
      </c>
      <c r="E33" s="246">
        <f>SUM(E5:E31)</f>
        <v>592298.74</v>
      </c>
      <c r="F33" s="246">
        <f>SUM(F5:F31)</f>
        <v>650264.77</v>
      </c>
      <c r="G33" s="246">
        <f>SUM(G5:G31)</f>
        <v>105039.48000000001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592298.74</v>
      </c>
      <c r="E35" s="249"/>
    </row>
    <row r="36" spans="2:8" ht="12" thickTop="1" x14ac:dyDescent="0.2">
      <c r="B36" t="s">
        <v>814</v>
      </c>
      <c r="D36" s="20">
        <f>D33</f>
        <v>18715193.519999996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13526.71</v>
      </c>
      <c r="E8" s="95">
        <f>'DOE25'!H9</f>
        <v>23215.94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13526.71</v>
      </c>
      <c r="E18" s="41">
        <f>SUM(E8:E17)</f>
        <v>23215.94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13526.71</v>
      </c>
      <c r="E47" s="95">
        <f>'DOE25'!H48</f>
        <v>23215.94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13526.71</v>
      </c>
      <c r="E50" s="41">
        <f>SUM(E34:E49)</f>
        <v>23215.94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0</v>
      </c>
      <c r="D51" s="41">
        <f>D50+D31</f>
        <v>13526.71</v>
      </c>
      <c r="E51" s="41">
        <f>E50+E31</f>
        <v>23215.94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5071334.29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1376293.6500000001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2674.53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206225.26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81353.25</v>
      </c>
      <c r="D61" s="95">
        <f>SUM('DOE25'!G98:G110)</f>
        <v>0</v>
      </c>
      <c r="E61" s="95">
        <f>SUM('DOE25'!H98:H110)</f>
        <v>44527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1460321.4300000002</v>
      </c>
      <c r="D62" s="130">
        <f>SUM(D57:D61)</f>
        <v>206225.26</v>
      </c>
      <c r="E62" s="130">
        <f>SUM(E57:E61)</f>
        <v>44527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6531655.7200000007</v>
      </c>
      <c r="D63" s="22">
        <f>D56+D62</f>
        <v>206225.26</v>
      </c>
      <c r="E63" s="22">
        <f>E56+E62</f>
        <v>44527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10014975.949999999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629396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10644371.949999999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123287.13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14747.61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82994.39</v>
      </c>
      <c r="D76" s="24" t="s">
        <v>288</v>
      </c>
      <c r="E76" s="95">
        <f>SUM('DOE25'!H127:H130)</f>
        <v>19787.37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9080.5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221029.13</v>
      </c>
      <c r="D78" s="130">
        <f>SUM(D72:D77)</f>
        <v>9080.5</v>
      </c>
      <c r="E78" s="130">
        <f>SUM(E72:E77)</f>
        <v>19787.37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10865401.08</v>
      </c>
      <c r="D81" s="130">
        <f>SUM(D79:D80)+D78+D70</f>
        <v>9080.5</v>
      </c>
      <c r="E81" s="130">
        <f>SUM(E79:E80)+E78+E70</f>
        <v>19787.37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316463.87</v>
      </c>
      <c r="D88" s="95">
        <f>SUM('DOE25'!G153:G161)</f>
        <v>424622.07</v>
      </c>
      <c r="E88" s="95">
        <f>SUM('DOE25'!H153:H161)</f>
        <v>2084749.73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12188.27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328652.14</v>
      </c>
      <c r="D91" s="131">
        <f>SUM(D85:D90)</f>
        <v>424622.07</v>
      </c>
      <c r="E91" s="131">
        <f>SUM(E85:E90)</f>
        <v>2084749.73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17725708.940000001</v>
      </c>
      <c r="D104" s="86">
        <f>D63+D81+D91+D103</f>
        <v>639927.83000000007</v>
      </c>
      <c r="E104" s="86">
        <f>E63+E81+E91+E103</f>
        <v>2149064.1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7140541.3899999997</v>
      </c>
      <c r="D109" s="24" t="s">
        <v>288</v>
      </c>
      <c r="E109" s="95">
        <f>('DOE25'!L276)+('DOE25'!L295)+('DOE25'!L314)</f>
        <v>97756.160000000003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3243503.59</v>
      </c>
      <c r="D110" s="24" t="s">
        <v>288</v>
      </c>
      <c r="E110" s="95">
        <f>('DOE25'!L277)+('DOE25'!L296)+('DOE25'!L315)</f>
        <v>826973.35000000009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717298.15</v>
      </c>
      <c r="D111" s="24" t="s">
        <v>288</v>
      </c>
      <c r="E111" s="95">
        <f>('DOE25'!L278)+('DOE25'!L297)+('DOE25'!L316)</f>
        <v>57731.96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407542.07000000007</v>
      </c>
      <c r="D112" s="24" t="s">
        <v>288</v>
      </c>
      <c r="E112" s="95">
        <f>+('DOE25'!L279)+('DOE25'!L298)+('DOE25'!L317)</f>
        <v>196979.05000000002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11508885.200000001</v>
      </c>
      <c r="D115" s="86">
        <f>SUM(D109:D114)</f>
        <v>0</v>
      </c>
      <c r="E115" s="86">
        <f>SUM(E109:E114)</f>
        <v>1179440.52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1612029.14</v>
      </c>
      <c r="D118" s="24" t="s">
        <v>288</v>
      </c>
      <c r="E118" s="95">
        <f>+('DOE25'!L281)+('DOE25'!L300)+('DOE25'!L319)</f>
        <v>503453.24999999994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325460.81</v>
      </c>
      <c r="D119" s="24" t="s">
        <v>288</v>
      </c>
      <c r="E119" s="95">
        <f>+('DOE25'!L282)+('DOE25'!L301)+('DOE25'!L320)</f>
        <v>89920.63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611081.67999999993</v>
      </c>
      <c r="D120" s="24" t="s">
        <v>288</v>
      </c>
      <c r="E120" s="95">
        <f>+('DOE25'!L283)+('DOE25'!L302)+('DOE25'!L321)</f>
        <v>177276.76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897499.96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276223.52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2096207.86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394102.29</v>
      </c>
      <c r="D124" s="24" t="s">
        <v>288</v>
      </c>
      <c r="E124" s="95">
        <f>+('DOE25'!L287)+('DOE25'!L306)+('DOE25'!L325)</f>
        <v>5766.25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4218.4800000000005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629411.66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6216823.7400000002</v>
      </c>
      <c r="D128" s="86">
        <f>SUM(D118:D127)</f>
        <v>629411.66</v>
      </c>
      <c r="E128" s="86">
        <f>SUM(E118:E127)</f>
        <v>776416.8899999999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197427.84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197427.84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17725708.940000001</v>
      </c>
      <c r="D145" s="86">
        <f>(D115+D128+D144)</f>
        <v>629411.66</v>
      </c>
      <c r="E145" s="86">
        <f>(E115+E128+E144)</f>
        <v>2153285.25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29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07/06</v>
      </c>
      <c r="C152" s="152" t="str">
        <f>'DOE25'!G491</f>
        <v>01/10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07/16</v>
      </c>
      <c r="C153" s="152" t="str">
        <f>'DOE25'!G492</f>
        <v>08/25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1713290</v>
      </c>
      <c r="C154" s="137">
        <f>'DOE25'!G493</f>
        <v>357204.63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2.85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201677.89</v>
      </c>
      <c r="C156" s="137">
        <f>'DOE25'!G495</f>
        <v>230589.33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432267.22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201677.89</v>
      </c>
      <c r="C158" s="137">
        <f>'DOE25'!G497</f>
        <v>17928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219605.89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212661.33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212661.33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49521.784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49521.784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262183.114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262183.114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193737.33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193737.33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39319.423999999992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39319.423999999992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233056.75399999999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233056.75399999999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Berlin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15187</v>
      </c>
    </row>
    <row r="5" spans="1:4" x14ac:dyDescent="0.2">
      <c r="B5" t="s">
        <v>703</v>
      </c>
      <c r="C5" s="179">
        <f>IF('DOE25'!G665+'DOE25'!G670=0,0,ROUND('DOE25'!G672,0))</f>
        <v>15205</v>
      </c>
    </row>
    <row r="6" spans="1:4" x14ac:dyDescent="0.2">
      <c r="B6" t="s">
        <v>62</v>
      </c>
      <c r="C6" s="179">
        <f>IF('DOE25'!H665+'DOE25'!H670=0,0,ROUND('DOE25'!H672,0))</f>
        <v>16381</v>
      </c>
    </row>
    <row r="7" spans="1:4" x14ac:dyDescent="0.2">
      <c r="B7" t="s">
        <v>704</v>
      </c>
      <c r="C7" s="179">
        <f>IF('DOE25'!I665+'DOE25'!I670=0,0,ROUND('DOE25'!I672,0))</f>
        <v>15616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7238298</v>
      </c>
      <c r="D10" s="182">
        <f>ROUND((C10/$C$28)*100,1)</f>
        <v>35.700000000000003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4070477</v>
      </c>
      <c r="D11" s="182">
        <f>ROUND((C11/$C$28)*100,1)</f>
        <v>20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775030</v>
      </c>
      <c r="D12" s="182">
        <f>ROUND((C12/$C$28)*100,1)</f>
        <v>3.8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604521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2115482</v>
      </c>
      <c r="D15" s="182">
        <f t="shared" ref="D15:D27" si="0">ROUND((C15/$C$28)*100,1)</f>
        <v>10.4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415381</v>
      </c>
      <c r="D16" s="182">
        <f t="shared" si="0"/>
        <v>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792577</v>
      </c>
      <c r="D17" s="182">
        <f t="shared" si="0"/>
        <v>3.9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897500</v>
      </c>
      <c r="D18" s="182">
        <f t="shared" si="0"/>
        <v>4.4000000000000004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276224</v>
      </c>
      <c r="D19" s="182">
        <f t="shared" si="0"/>
        <v>1.4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2096208</v>
      </c>
      <c r="D20" s="182">
        <f t="shared" si="0"/>
        <v>10.3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399869</v>
      </c>
      <c r="D21" s="182">
        <f t="shared" si="0"/>
        <v>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197427.84</v>
      </c>
      <c r="D26" s="182">
        <f t="shared" si="0"/>
        <v>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423186.74</v>
      </c>
      <c r="D27" s="182">
        <f t="shared" si="0"/>
        <v>2.1</v>
      </c>
    </row>
    <row r="28" spans="1:4" x14ac:dyDescent="0.2">
      <c r="B28" s="187" t="s">
        <v>722</v>
      </c>
      <c r="C28" s="180">
        <f>SUM(C10:C27)</f>
        <v>20302181.579999998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20302181.579999998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5071334</v>
      </c>
      <c r="D35" s="182">
        <f t="shared" ref="D35:D40" si="1">ROUND((C35/$C$41)*100,1)</f>
        <v>25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1504848.7200000007</v>
      </c>
      <c r="D36" s="182">
        <f t="shared" si="1"/>
        <v>7.4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10644372</v>
      </c>
      <c r="D37" s="182">
        <f t="shared" si="1"/>
        <v>52.4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249897</v>
      </c>
      <c r="D38" s="182">
        <f t="shared" si="1"/>
        <v>1.2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2838024</v>
      </c>
      <c r="D39" s="182">
        <f t="shared" si="1"/>
        <v>14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20308475.719999999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Berlin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>
        <v>3</v>
      </c>
      <c r="C4" s="285" t="s">
        <v>918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2017-09-20T11:55:42Z</cp:lastPrinted>
  <dcterms:created xsi:type="dcterms:W3CDTF">1997-12-04T19:04:30Z</dcterms:created>
  <dcterms:modified xsi:type="dcterms:W3CDTF">2017-11-29T17:10:59Z</dcterms:modified>
</cp:coreProperties>
</file>