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740" windowHeight="84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E16" i="13" s="1"/>
  <c r="L245" i="1"/>
  <c r="F5" i="13"/>
  <c r="G5" i="13"/>
  <c r="L197" i="1"/>
  <c r="L198" i="1"/>
  <c r="C110" i="2" s="1"/>
  <c r="L199" i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E118" i="2" s="1"/>
  <c r="L282" i="1"/>
  <c r="E119" i="2" s="1"/>
  <c r="L283" i="1"/>
  <c r="E120" i="2" s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28" i="1" s="1"/>
  <c r="H660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3" i="10"/>
  <c r="L250" i="1"/>
  <c r="L332" i="1"/>
  <c r="L254" i="1"/>
  <c r="L268" i="1"/>
  <c r="L269" i="1"/>
  <c r="L349" i="1"/>
  <c r="L350" i="1"/>
  <c r="I665" i="1"/>
  <c r="I670" i="1"/>
  <c r="L247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C112" i="2"/>
  <c r="E112" i="2"/>
  <c r="C113" i="2"/>
  <c r="E113" i="2"/>
  <c r="C114" i="2"/>
  <c r="D115" i="2"/>
  <c r="F115" i="2"/>
  <c r="G115" i="2"/>
  <c r="C118" i="2"/>
  <c r="E121" i="2"/>
  <c r="C122" i="2"/>
  <c r="E122" i="2"/>
  <c r="E123" i="2"/>
  <c r="C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F460" i="1"/>
  <c r="F461" i="1" s="1"/>
  <c r="H639" i="1" s="1"/>
  <c r="J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G643" i="1"/>
  <c r="J643" i="1" s="1"/>
  <c r="G644" i="1"/>
  <c r="G645" i="1"/>
  <c r="G649" i="1"/>
  <c r="G650" i="1"/>
  <c r="G652" i="1"/>
  <c r="H652" i="1"/>
  <c r="G653" i="1"/>
  <c r="H653" i="1"/>
  <c r="G654" i="1"/>
  <c r="H654" i="1"/>
  <c r="H655" i="1"/>
  <c r="I257" i="1"/>
  <c r="I271" i="1" s="1"/>
  <c r="C26" i="10"/>
  <c r="A40" i="12"/>
  <c r="D15" i="13"/>
  <c r="C15" i="13" s="1"/>
  <c r="D7" i="13"/>
  <c r="C7" i="13" s="1"/>
  <c r="D17" i="13"/>
  <c r="C17" i="13" s="1"/>
  <c r="D6" i="13"/>
  <c r="C6" i="13" s="1"/>
  <c r="D31" i="2"/>
  <c r="F18" i="2"/>
  <c r="E103" i="2"/>
  <c r="E62" i="2"/>
  <c r="G62" i="2"/>
  <c r="E13" i="13"/>
  <c r="C13" i="13" s="1"/>
  <c r="E78" i="2"/>
  <c r="L433" i="1"/>
  <c r="I169" i="1"/>
  <c r="H169" i="1"/>
  <c r="J476" i="1"/>
  <c r="H626" i="1" s="1"/>
  <c r="I476" i="1"/>
  <c r="H625" i="1" s="1"/>
  <c r="J625" i="1" s="1"/>
  <c r="G476" i="1"/>
  <c r="H623" i="1" s="1"/>
  <c r="J623" i="1" s="1"/>
  <c r="F169" i="1"/>
  <c r="J140" i="1"/>
  <c r="F571" i="1"/>
  <c r="I552" i="1"/>
  <c r="K545" i="1"/>
  <c r="C29" i="10"/>
  <c r="L393" i="1"/>
  <c r="C138" i="2" s="1"/>
  <c r="A13" i="12"/>
  <c r="F22" i="13"/>
  <c r="G192" i="1"/>
  <c r="H192" i="1"/>
  <c r="C35" i="10"/>
  <c r="L309" i="1"/>
  <c r="J636" i="1"/>
  <c r="G36" i="2"/>
  <c r="C22" i="13"/>
  <c r="H552" i="1" l="1"/>
  <c r="F112" i="1"/>
  <c r="C18" i="2"/>
  <c r="H52" i="1"/>
  <c r="H619" i="1" s="1"/>
  <c r="D18" i="2"/>
  <c r="J645" i="1"/>
  <c r="J655" i="1"/>
  <c r="J617" i="1"/>
  <c r="K598" i="1"/>
  <c r="G647" i="1" s="1"/>
  <c r="J649" i="1"/>
  <c r="H545" i="1"/>
  <c r="K549" i="1"/>
  <c r="L544" i="1"/>
  <c r="J552" i="1"/>
  <c r="L534" i="1"/>
  <c r="I545" i="1"/>
  <c r="F552" i="1"/>
  <c r="H476" i="1"/>
  <c r="H624" i="1" s="1"/>
  <c r="F476" i="1"/>
  <c r="H622" i="1" s="1"/>
  <c r="L419" i="1"/>
  <c r="C17" i="10"/>
  <c r="C16" i="10"/>
  <c r="C15" i="10"/>
  <c r="L290" i="1"/>
  <c r="L338" i="1" s="1"/>
  <c r="L352" i="1" s="1"/>
  <c r="G633" i="1" s="1"/>
  <c r="J633" i="1" s="1"/>
  <c r="E109" i="2"/>
  <c r="C10" i="10"/>
  <c r="D14" i="13"/>
  <c r="C14" i="13" s="1"/>
  <c r="C123" i="2"/>
  <c r="D12" i="13"/>
  <c r="C12" i="13" s="1"/>
  <c r="C18" i="10"/>
  <c r="E8" i="13"/>
  <c r="C8" i="13" s="1"/>
  <c r="C120" i="2"/>
  <c r="K257" i="1"/>
  <c r="K271" i="1" s="1"/>
  <c r="G257" i="1"/>
  <c r="G271" i="1" s="1"/>
  <c r="F257" i="1"/>
  <c r="F271" i="1" s="1"/>
  <c r="D5" i="13"/>
  <c r="C5" i="13" s="1"/>
  <c r="C109" i="2"/>
  <c r="C115" i="2" s="1"/>
  <c r="C78" i="2"/>
  <c r="F192" i="1"/>
  <c r="C91" i="2"/>
  <c r="D91" i="2"/>
  <c r="D81" i="2"/>
  <c r="J644" i="1"/>
  <c r="C70" i="2"/>
  <c r="C81" i="2" s="1"/>
  <c r="J622" i="1"/>
  <c r="J640" i="1"/>
  <c r="J641" i="1"/>
  <c r="I662" i="1"/>
  <c r="E128" i="2"/>
  <c r="C16" i="13"/>
  <c r="J624" i="1"/>
  <c r="K550" i="1"/>
  <c r="G552" i="1"/>
  <c r="H112" i="1"/>
  <c r="D29" i="13"/>
  <c r="C29" i="13" s="1"/>
  <c r="G651" i="1"/>
  <c r="J651" i="1" s="1"/>
  <c r="G624" i="1"/>
  <c r="K500" i="1"/>
  <c r="I460" i="1"/>
  <c r="I452" i="1"/>
  <c r="D145" i="2"/>
  <c r="C125" i="2"/>
  <c r="C119" i="2"/>
  <c r="E132" i="2"/>
  <c r="H662" i="1"/>
  <c r="H664" i="1" s="1"/>
  <c r="G661" i="1"/>
  <c r="L211" i="1"/>
  <c r="L257" i="1" s="1"/>
  <c r="L271" i="1" s="1"/>
  <c r="G632" i="1" s="1"/>
  <c r="J632" i="1" s="1"/>
  <c r="L362" i="1"/>
  <c r="C27" i="10" s="1"/>
  <c r="E111" i="2"/>
  <c r="E115" i="2" s="1"/>
  <c r="C62" i="2"/>
  <c r="C63" i="2" s="1"/>
  <c r="F661" i="1"/>
  <c r="I661" i="1" s="1"/>
  <c r="H25" i="13"/>
  <c r="E81" i="2"/>
  <c r="E63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K552" i="1" l="1"/>
  <c r="G104" i="2"/>
  <c r="J647" i="1"/>
  <c r="L545" i="1"/>
  <c r="H646" i="1"/>
  <c r="G635" i="1"/>
  <c r="J635" i="1" s="1"/>
  <c r="E145" i="2"/>
  <c r="C128" i="2"/>
  <c r="C145" i="2" s="1"/>
  <c r="C28" i="10"/>
  <c r="D19" i="10" s="1"/>
  <c r="E33" i="13"/>
  <c r="D35" i="13" s="1"/>
  <c r="D104" i="2"/>
  <c r="G664" i="1"/>
  <c r="C104" i="2"/>
  <c r="H672" i="1"/>
  <c r="C6" i="10" s="1"/>
  <c r="H667" i="1"/>
  <c r="F660" i="1"/>
  <c r="I461" i="1"/>
  <c r="H642" i="1" s="1"/>
  <c r="J642" i="1" s="1"/>
  <c r="D31" i="13"/>
  <c r="C31" i="13" s="1"/>
  <c r="C25" i="13"/>
  <c r="H33" i="13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18" i="10" l="1"/>
  <c r="D22" i="10"/>
  <c r="D23" i="10"/>
  <c r="D27" i="10"/>
  <c r="D15" i="10"/>
  <c r="D12" i="10"/>
  <c r="D17" i="10"/>
  <c r="D20" i="10"/>
  <c r="D25" i="10"/>
  <c r="D10" i="10"/>
  <c r="D26" i="10"/>
  <c r="C30" i="10"/>
  <c r="D16" i="10"/>
  <c r="D13" i="10"/>
  <c r="D11" i="10"/>
  <c r="D21" i="10"/>
  <c r="D24" i="10"/>
  <c r="G667" i="1"/>
  <c r="G672" i="1"/>
  <c r="C5" i="10" s="1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<sst xmlns="http://schemas.openxmlformats.org/spreadsheetml/2006/main" count="3968" uniqueCount="914">
  <si>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</si>
  <si>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</si>
  <si>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</si>
  <si>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</si>
  <si>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</si>
  <si>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</si>
  <si>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</si>
  <si>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</si>
  <si>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</si>
  <si>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</si>
  <si>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</si>
  <si>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</si>
  <si>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</si>
  <si>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</si>
  <si>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</si>
  <si>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</si>
  <si>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</si>
  <si>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</si>
  <si>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</si>
  <si>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</si>
  <si>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</si>
  <si>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</si>
  <si>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</si>
  <si>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</si>
  <si>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</si>
  <si>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</si>
  <si>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</si>
  <si>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</si>
  <si>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</si>
  <si>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</si>
  <si>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</si>
  <si>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</si>
  <si>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</si>
  <si>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</si>
  <si>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</si>
  <si>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</si>
  <si>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</si>
  <si>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</si>
  <si>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</si>
  <si>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</si>
  <si>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</si>
  <si>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</si>
  <si>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</si>
  <si>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</si>
  <si>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</si>
  <si>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</si>
  <si>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</si>
  <si>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</si>
  <si>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</si>
  <si>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</si>
  <si>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</si>
  <si>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</si>
  <si>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</si>
  <si>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</si>
  <si>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</si>
  <si>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</si>
  <si>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</si>
  <si>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</si>
  <si>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</si>
  <si>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</si>
  <si>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</si>
  <si>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</si>
  <si>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</si>
  <si>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</si>
  <si>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</si>
  <si>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</si>
  <si>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</si>
  <si>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</si>
  <si>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</si>
  <si>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</si>
  <si>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</si>
  <si>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</si>
  <si>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</si>
  <si>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</si>
  <si>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</si>
  <si>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</si>
  <si>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</si>
  <si>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</si>
  <si>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</si>
  <si>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</si>
  <si>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</si>
  <si>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</si>
  <si>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</si>
  <si>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</si>
  <si>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</si>
  <si>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</si>
  <si>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</si>
  <si>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</si>
  <si>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</si>
  <si>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</si>
  <si>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</si>
  <si>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</si>
  <si>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</si>
  <si>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</si>
  <si>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</si>
  <si>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</si>
  <si>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</si>
  <si>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</si>
  <si>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</si>
  <si>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</si>
  <si>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</si>
  <si>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</si>
  <si>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</si>
  <si>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</si>
  <si>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</si>
  <si>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</si>
  <si>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</si>
  <si>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</si>
  <si>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</si>
  <si>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</si>
  <si>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</si>
  <si>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</si>
  <si>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</si>
  <si>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</si>
  <si>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</si>
  <si>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</si>
  <si>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</si>
  <si>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</si>
  <si>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</si>
  <si>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</si>
  <si>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</si>
  <si>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</si>
  <si>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</si>
  <si>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</si>
  <si>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</si>
  <si>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</si>
  <si>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</si>
  <si>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</si>
  <si>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</si>
  <si>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</si>
  <si>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</si>
  <si>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</si>
  <si>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</si>
  <si>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</si>
  <si>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</si>
  <si>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</si>
  <si>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</si>
  <si>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</si>
  <si>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</si>
  <si>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</si>
  <si>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</si>
  <si>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</si>
  <si>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</si>
  <si>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</si>
  <si>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</si>
  <si>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</si>
  <si>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</si>
  <si>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</si>
  <si>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</si>
  <si>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</si>
  <si>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</si>
  <si>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</si>
  <si>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</si>
  <si>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</si>
  <si>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</si>
  <si>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</si>
  <si>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</si>
  <si>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</si>
  <si>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</si>
  <si>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</si>
  <si>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</si>
  <si>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</si>
  <si>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</si>
  <si>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</si>
  <si>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</si>
  <si>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</si>
  <si>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</si>
  <si>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</si>
  <si>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</si>
  <si>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</si>
  <si>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</si>
  <si>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</si>
  <si>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</si>
  <si>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</si>
  <si>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</si>
  <si>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</si>
  <si>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</si>
  <si>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</si>
  <si>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</si>
  <si>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</si>
  <si>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</si>
  <si>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</si>
  <si>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</si>
  <si>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</si>
  <si>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</si>
  <si>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</si>
  <si>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</si>
  <si>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</si>
  <si>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</si>
  <si>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</si>
  <si>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</si>
  <si>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</si>
  <si>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</si>
  <si>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</si>
  <si>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</si>
  <si>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</si>
  <si>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</si>
  <si>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</si>
  <si>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</si>
  <si>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</si>
  <si>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</si>
  <si>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</si>
  <si>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</si>
  <si>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</si>
  <si>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</si>
  <si>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</si>
  <si>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</si>
  <si>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</si>
  <si>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</si>
  <si>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</si>
  <si>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</si>
  <si>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</si>
  <si>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</si>
  <si>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</si>
  <si>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</si>
  <si>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</si>
  <si>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</si>
  <si>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</si>
  <si>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</si>
  <si>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</si>
  <si>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</si>
  <si>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</si>
  <si>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</si>
  <si>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</si>
  <si>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</si>
  <si>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</si>
  <si>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</si>
  <si>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</si>
  <si>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</si>
  <si>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</si>
  <si>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</si>
  <si>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</si>
  <si>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</si>
  <si>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</si>
  <si>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</si>
  <si>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</si>
  <si>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</si>
  <si>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</si>
  <si>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</si>
  <si>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</si>
  <si>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</si>
  <si>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</si>
  <si>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</si>
  <si>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</si>
  <si>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</si>
  <si>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</si>
  <si>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</si>
  <si>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</si>
  <si>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</si>
  <si>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</si>
  <si>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</si>
  <si>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</si>
  <si>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</si>
  <si>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</si>
  <si>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</si>
  <si>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</si>
  <si>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</si>
  <si>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</si>
  <si>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</si>
  <si>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</si>
  <si>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</si>
  <si>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</si>
  <si>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</si>
  <si>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</si>
  <si>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</si>
  <si>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</si>
  <si>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</si>
  <si>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</si>
  <si>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</si>
  <si>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</si>
  <si>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</si>
  <si>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</si>
  <si>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</si>
  <si>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</si>
  <si>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</si>
  <si>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</si>
  <si>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</si>
  <si>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</si>
  <si>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</si>
  <si>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</si>
  <si>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</si>
  <si>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</si>
  <si>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</si>
  <si>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</si>
  <si>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</si>
  <si>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</si>
  <si>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</si>
  <si>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</si>
  <si>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</si>
  <si>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</si>
  <si>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</si>
  <si>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</si>
  <si>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</si>
  <si>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</si>
  <si>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</si>
  <si>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</si>
  <si>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</si>
  <si>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</si>
  <si>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</si>
  <si>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</si>
  <si>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</si>
  <si>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</si>
  <si>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</si>
  <si>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</si>
  <si>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</si>
  <si>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</si>
  <si>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</si>
  <si>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</si>
  <si>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</si>
  <si>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</si>
  <si>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</si>
  <si>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</si>
  <si>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</si>
  <si>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</si>
  <si>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</si>
  <si>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</si>
  <si>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</si>
  <si>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</si>
  <si>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</si>
  <si>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</si>
  <si>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</si>
  <si>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</si>
  <si>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</si>
  <si>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</si>
  <si>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</si>
  <si>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</si>
  <si>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</si>
  <si>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</si>
  <si>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</si>
  <si>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</si>
  <si>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</si>
  <si>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</si>
  <si>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</si>
  <si>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</si>
  <si>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</si>
  <si>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</si>
  <si>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</si>
  <si>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</si>
  <si>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</si>
  <si>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</si>
  <si>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</si>
  <si>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</si>
  <si>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</si>
  <si>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</si>
  <si>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</si>
  <si>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</si>
  <si>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</si>
  <si>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</si>
  <si>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</si>
  <si>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</si>
  <si>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</si>
  <si>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</si>
  <si>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</si>
  <si>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</si>
  <si>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</si>
  <si>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</si>
  <si>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</si>
  <si>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</si>
  <si>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</si>
  <si>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</si>
  <si>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</si>
  <si>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</si>
  <si>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</si>
  <si>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</si>
  <si>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</si>
  <si>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</si>
  <si>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</si>
  <si>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</si>
  <si>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</si>
  <si>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</si>
  <si>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</si>
  <si>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</si>
  <si>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</si>
  <si>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</si>
  <si>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</si>
  <si>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</si>
  <si>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</si>
  <si>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</si>
  <si>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</si>
  <si>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</si>
  <si>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</si>
  <si>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</si>
  <si>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</si>
  <si>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</si>
  <si>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</si>
  <si>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</si>
  <si>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</si>
  <si>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</si>
  <si>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</si>
  <si>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</si>
  <si>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</si>
  <si>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</si>
  <si>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</si>
  <si>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</si>
  <si>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</si>
  <si>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</si>
  <si>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</si>
  <si>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</si>
  <si>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</si>
  <si>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</si>
  <si>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</si>
  <si>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</si>
  <si>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</si>
  <si>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</si>
  <si>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</si>
  <si>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</si>
  <si>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</si>
  <si>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</si>
  <si>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</si>
  <si>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</si>
  <si>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</si>
  <si>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</si>
  <si>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</si>
  <si>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</si>
  <si>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</si>
  <si>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</si>
  <si>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</si>
  <si>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</si>
  <si>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</si>
  <si>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</si>
  <si>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</si>
  <si>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</si>
  <si>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</si>
  <si>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</si>
  <si>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</si>
  <si>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</si>
  <si>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</si>
  <si>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</si>
  <si>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</si>
  <si>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</si>
  <si>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</si>
  <si>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</si>
  <si>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</si>
  <si>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</si>
  <si>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</si>
  <si>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</si>
  <si>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</si>
  <si>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</si>
  <si>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</si>
  <si>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</si>
  <si>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</si>
  <si>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</si>
  <si>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</si>
  <si>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</si>
  <si>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</si>
  <si>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</si>
  <si>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</si>
  <si>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</si>
  <si>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</si>
  <si>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</si>
  <si>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</si>
  <si>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</si>
  <si>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</si>
  <si>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</si>
  <si>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</si>
  <si>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</si>
  <si>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</si>
  <si>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</si>
  <si>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</si>
  <si>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</si>
  <si>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</si>
  <si>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</si>
  <si>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</si>
  <si>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</si>
  <si>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</si>
  <si>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</si>
  <si>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</si>
  <si>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</si>
  <si>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</si>
  <si>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</si>
  <si>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</si>
  <si>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</si>
  <si>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</si>
  <si>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</si>
  <si>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</si>
  <si>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</si>
  <si>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</si>
  <si>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</si>
  <si>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</si>
  <si>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</si>
  <si>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</si>
  <si>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</si>
  <si>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</si>
  <si>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</si>
  <si>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</si>
  <si>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</si>
  <si>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</si>
  <si>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</si>
  <si>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</si>
  <si>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</si>
  <si>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</si>
  <si>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</si>
  <si>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</si>
  <si>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</si>
  <si>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</si>
  <si>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</si>
  <si>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</si>
  <si>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</si>
  <si>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</si>
  <si>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</si>
  <si>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</si>
  <si>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</si>
  <si>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</si>
  <si>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</si>
  <si>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</si>
  <si>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</si>
  <si>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</si>
  <si>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</si>
  <si>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</si>
  <si>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</si>
  <si>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</si>
  <si>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</si>
  <si>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</si>
  <si>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</si>
  <si>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</si>
  <si>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</si>
  <si>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</si>
  <si>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</si>
  <si>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</si>
  <si>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</si>
  <si>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</si>
  <si>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</si>
  <si>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</si>
  <si>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</si>
  <si>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</si>
  <si>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</si>
  <si>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</si>
  <si>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</si>
  <si>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</si>
  <si>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</si>
  <si>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</si>
  <si>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</si>
  <si>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</si>
  <si>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</si>
  <si>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</si>
  <si>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</si>
  <si>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</si>
  <si>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</si>
  <si>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</si>
  <si>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</si>
  <si>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</si>
  <si>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</si>
  <si>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</si>
  <si>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</si>
  <si>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</si>
  <si>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</si>
  <si>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</si>
  <si>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</si>
  <si>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</si>
  <si>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</si>
  <si>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</si>
  <si>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</si>
  <si>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</si>
  <si>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</si>
  <si>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</si>
  <si>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</si>
  <si>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</si>
  <si>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</si>
  <si>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</si>
  <si>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</si>
  <si>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</si>
  <si>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</si>
  <si>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</si>
  <si>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</si>
  <si>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</si>
  <si>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</si>
  <si>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</si>
  <si>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</si>
  <si>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</si>
  <si>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</si>
  <si>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</si>
  <si>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</si>
  <si>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</si>
  <si>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</si>
  <si>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</si>
  <si>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</si>
  <si>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</si>
  <si>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</si>
  <si>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</si>
  <si>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</si>
  <si>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</si>
  <si>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</si>
  <si>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</si>
  <si>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</si>
  <si>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</si>
  <si>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</si>
  <si>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</si>
  <si>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</si>
  <si>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</si>
  <si>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</si>
  <si>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</si>
  <si>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</si>
  <si>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</si>
  <si>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</si>
  <si>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</si>
  <si>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</si>
  <si>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</si>
  <si>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</si>
  <si>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</si>
  <si>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</si>
  <si>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</si>
  <si>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</si>
  <si>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</si>
  <si>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</si>
  <si>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</si>
  <si>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</si>
  <si>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</si>
  <si>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</si>
  <si>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</si>
  <si>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</si>
  <si>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</si>
  <si>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</si>
  <si>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</si>
  <si>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</si>
  <si>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</si>
  <si>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</si>
  <si>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</si>
  <si>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</si>
  <si>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</si>
  <si>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</si>
  <si>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</si>
  <si>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</si>
  <si>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</si>
  <si>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</si>
  <si>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</si>
  <si>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</si>
  <si>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</si>
  <si>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</si>
  <si>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</si>
  <si>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</si>
  <si>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</si>
  <si>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</si>
  <si>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</si>
  <si>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</si>
  <si>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</si>
  <si>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</si>
  <si>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</si>
  <si>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</si>
  <si>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</si>
  <si>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</si>
  <si>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</si>
  <si>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</si>
  <si>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</si>
  <si>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</si>
  <si>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</si>
  <si>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</si>
  <si>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</si>
  <si>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</si>
  <si>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</si>
  <si>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</si>
  <si>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</si>
  <si>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</si>
  <si>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</si>
  <si>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</si>
  <si>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</si>
  <si>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</si>
  <si>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</si>
  <si>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</si>
  <si>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</si>
  <si>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</si>
  <si>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</si>
  <si>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</si>
  <si>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</si>
  <si>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</si>
  <si>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</si>
  <si>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</si>
  <si>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</si>
  <si>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</si>
  <si>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</si>
  <si>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</si>
  <si>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</si>
  <si>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</si>
  <si>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</si>
  <si>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</si>
  <si>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</si>
  <si>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</si>
  <si>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</si>
  <si>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</si>
  <si>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</si>
  <si>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</si>
  <si>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</si>
  <si>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</si>
  <si>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</si>
  <si>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</si>
  <si>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</si>
  <si>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</si>
  <si>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</si>
  <si>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</si>
  <si>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</si>
  <si>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</si>
  <si>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</si>
  <si>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</si>
  <si>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</si>
  <si>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</si>
  <si>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</si>
  <si>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</si>
  <si>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</si>
  <si>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</si>
  <si>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</si>
  <si>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</si>
  <si>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</si>
  <si>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</si>
  <si>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</si>
  <si>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</si>
  <si>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</si>
  <si>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</si>
  <si>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</si>
  <si>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</si>
  <si>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</si>
  <si>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</si>
  <si>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</si>
  <si>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</si>
  <si>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</si>
  <si>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</si>
  <si>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</si>
  <si>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</si>
  <si>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</si>
  <si>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</si>
  <si>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</si>
  <si>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</si>
  <si>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</si>
  <si>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</si>
  <si>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</si>
  <si>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</si>
  <si>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</si>
  <si>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</si>
  <si>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</si>
  <si>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</si>
  <si>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</si>
  <si>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</si>
  <si>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</si>
  <si>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</si>
  <si>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</si>
  <si>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</si>
  <si>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</si>
  <si>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</si>
  <si>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</si>
  <si>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</si>
  <si>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</si>
  <si>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</si>
  <si>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</si>
  <si>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</si>
  <si>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</si>
  <si>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</si>
  <si>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</si>
  <si>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</si>
  <si>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</si>
  <si>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</si>
  <si>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</si>
  <si>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</si>
  <si>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</si>
  <si>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</si>
  <si>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</si>
  <si>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</si>
  <si>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</si>
  <si>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</si>
  <si>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</si>
  <si>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</si>
  <si>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</si>
  <si>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</si>
  <si>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</si>
  <si>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</si>
  <si>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</si>
  <si>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</si>
  <si>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</si>
  <si>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</si>
  <si>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</si>
  <si>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</si>
  <si>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</si>
  <si>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</si>
  <si>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</si>
  <si>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</si>
  <si>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</si>
  <si>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</si>
  <si>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</si>
  <si>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</si>
  <si>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</si>
  <si>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</si>
  <si>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</si>
  <si>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</si>
  <si>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</si>
  <si>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</si>
  <si>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</si>
  <si>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</si>
  <si>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</si>
  <si>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</si>
  <si>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</si>
  <si>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</si>
  <si>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</si>
  <si>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</si>
  <si>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</si>
  <si>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</si>
  <si>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</si>
  <si>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</si>
  <si>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</si>
  <si>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</si>
  <si>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</si>
  <si>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</si>
  <si>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</si>
  <si>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</si>
  <si>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</si>
  <si>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</si>
  <si>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</si>
  <si>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</si>
  <si>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</si>
  <si>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</si>
  <si>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</si>
  <si>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</si>
  <si>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</si>
  <si>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</si>
  <si>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</si>
  <si>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</si>
  <si>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</si>
  <si>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</si>
  <si>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</si>
  <si>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</si>
  <si>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</si>
  <si>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</si>
  <si>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</si>
  <si>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</si>
  <si>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</si>
  <si>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</si>
  <si>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</si>
  <si>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</si>
  <si>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</si>
  <si>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</si>
  <si>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</si>
  <si>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</si>
  <si>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</si>
  <si>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</si>
  <si>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</si>
  <si>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</si>
  <si>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</si>
  <si>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</si>
  <si>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</si>
  <si>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</si>
  <si>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</si>
  <si>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</si>
  <si>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</si>
  <si>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</si>
  <si>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</si>
  <si>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</si>
  <si>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</si>
  <si>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</si>
  <si>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</si>
  <si>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</si>
  <si>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</si>
  <si>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</si>
  <si>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</si>
  <si>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</si>
  <si>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</si>
  <si>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</si>
  <si>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</si>
  <si>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</si>
  <si>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</si>
  <si>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</si>
  <si>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</si>
  <si>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</si>
  <si>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</si>
  <si>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</si>
  <si>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</si>
  <si>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</si>
  <si>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</si>
  <si>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</si>
  <si>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</si>
  <si>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</si>
  <si>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</si>
  <si>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</si>
  <si>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</si>
  <si>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</si>
  <si>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</si>
  <si>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</si>
  <si>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</si>
  <si>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</si>
  <si>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</si>
  <si>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</si>
  <si>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</si>
  <si>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</si>
  <si>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</si>
  <si>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</si>
  <si>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</si>
  <si>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</si>
  <si>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</si>
  <si>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</si>
  <si>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</si>
  <si>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</si>
  <si>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</si>
  <si>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</si>
  <si>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</si>
  <si>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</si>
  <si>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</si>
  <si>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</si>
  <si>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</si>
  <si>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</si>
  <si>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</si>
  <si>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</si>
  <si>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</si>
  <si>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</si>
  <si>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</si>
  <si>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</si>
  <si>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</si>
  <si>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</si>
  <si>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</si>
  <si>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</si>
  <si>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</si>
  <si>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</si>
  <si>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</si>
  <si>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</si>
  <si>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</si>
  <si>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</si>
  <si>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</si>
  <si>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</si>
  <si>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BETHLEHEM SCHOOL DISTRICT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</si>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</sst>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G665" sqref="G665: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</v>
      </c>
      <c r="C2" s="21">
        <v>53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4999.99</v>
      </c>
      <c r="G9" s="18"/>
      <c r="H9" s="18"/>
      <c r="I9" s="18"/>
      <c r="J9" s="67">
        <f>SUM(I439)</f>
        <v>223556.39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35260.61</v>
      </c>
      <c r="G12" s="18">
        <v>-4332.2700000000004</v>
      </c>
      <c r="H12" s="18">
        <v>-30928.34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1852.76</v>
      </c>
      <c r="G13" s="18">
        <v>2945.92</v>
      </c>
      <c r="H13" s="18">
        <v>32422.21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3864.81</v>
      </c>
      <c r="G14" s="18">
        <v>1386.35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45978.17</v>
      </c>
      <c r="G19" s="41">
        <f>SUM(G9:G18)</f>
        <v>0</v>
      </c>
      <c r="H19" s="41">
        <f>SUM(H9:H18)</f>
        <v>1493.869999999999</v>
      </c>
      <c r="I19" s="41">
        <f>SUM(I9:I18)</f>
        <v>0</v>
      </c>
      <c r="J19" s="41">
        <f>SUM(J9:J18)</f>
        <v>223556.39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43935.12</v>
      </c>
      <c r="G24" s="18"/>
      <c r="H24" s="18">
        <v>1493.87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43935.12</v>
      </c>
      <c r="G32" s="41">
        <f>SUM(G22:G31)</f>
        <v>0</v>
      </c>
      <c r="H32" s="41">
        <f>SUM(H22:H31)</f>
        <v>1493.87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4999.99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223556.39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-2956.94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2043.0499999999997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223556.39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45978.170000000006</v>
      </c>
      <c r="G52" s="41">
        <f>G51+G32</f>
        <v>0</v>
      </c>
      <c r="H52" s="41">
        <f>H51+H32</f>
        <v>1493.87</v>
      </c>
      <c r="I52" s="41">
        <f>I51+I32</f>
        <v>0</v>
      </c>
      <c r="J52" s="41">
        <f>J51+J32</f>
        <v>223556.39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1780790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1780790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471.24</v>
      </c>
      <c r="G96" s="18"/>
      <c r="H96" s="18"/>
      <c r="I96" s="18"/>
      <c r="J96" s="18">
        <v>5269.7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20052.939999999999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9654.81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10126.049999999999</v>
      </c>
      <c r="G111" s="41">
        <f>SUM(G96:G110)</f>
        <v>20052.939999999999</v>
      </c>
      <c r="H111" s="41">
        <f>SUM(H96:H110)</f>
        <v>0</v>
      </c>
      <c r="I111" s="41">
        <f>SUM(I96:I110)</f>
        <v>0</v>
      </c>
      <c r="J111" s="41">
        <f>SUM(J96:J110)</f>
        <v>5269.7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1790916.05</v>
      </c>
      <c r="G112" s="41">
        <f>G60+G111</f>
        <v>20052.939999999999</v>
      </c>
      <c r="H112" s="41">
        <f>H60+H79+H94+H111</f>
        <v>0</v>
      </c>
      <c r="I112" s="41">
        <f>I60+I111</f>
        <v>0</v>
      </c>
      <c r="J112" s="41">
        <f>J60+J111</f>
        <v>5269.7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658333.11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265676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924009.11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36832.54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826.98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36832.54</v>
      </c>
      <c r="G136" s="41">
        <f>SUM(G123:G135)</f>
        <v>826.98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960841.65</v>
      </c>
      <c r="G140" s="41">
        <f>G121+SUM(G136:G137)</f>
        <v>826.98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77005.75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57650.14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39228.15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44476.09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44476.09</v>
      </c>
      <c r="G162" s="41">
        <f>SUM(G150:G161)</f>
        <v>39228.15</v>
      </c>
      <c r="H162" s="41">
        <f>SUM(H150:H161)</f>
        <v>134655.89000000001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15033.99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59510.079999999994</v>
      </c>
      <c r="G169" s="41">
        <f>G147+G162+SUM(G163:G168)</f>
        <v>39228.15</v>
      </c>
      <c r="H169" s="41">
        <f>H147+H162+SUM(H163:H168)</f>
        <v>134655.89000000001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7018.33</v>
      </c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7018.33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25000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25000</v>
      </c>
      <c r="G192" s="41">
        <f>G183+SUM(G188:G191)</f>
        <v>7018.33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2836267.7800000003</v>
      </c>
      <c r="G193" s="47">
        <f>G112+G140+G169+G192</f>
        <v>67126.399999999994</v>
      </c>
      <c r="H193" s="47">
        <f>H112+H140+H169+H192</f>
        <v>134655.89000000001</v>
      </c>
      <c r="I193" s="47">
        <f>I112+I140+I169+I192</f>
        <v>0</v>
      </c>
      <c r="J193" s="47">
        <f>J112+J140+J192</f>
        <v>80269.7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835567.77</v>
      </c>
      <c r="G197" s="18">
        <v>399646.85</v>
      </c>
      <c r="H197" s="18">
        <v>4875.45</v>
      </c>
      <c r="I197" s="18">
        <v>13492.4</v>
      </c>
      <c r="J197" s="18">
        <v>101.8</v>
      </c>
      <c r="K197" s="18"/>
      <c r="L197" s="19">
        <f>SUM(F197:K197)</f>
        <v>1253684.27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389452.54</v>
      </c>
      <c r="G198" s="18">
        <v>152218.28</v>
      </c>
      <c r="H198" s="18">
        <v>44915.55</v>
      </c>
      <c r="I198" s="18">
        <v>1435.85</v>
      </c>
      <c r="J198" s="18">
        <v>728.89</v>
      </c>
      <c r="K198" s="18"/>
      <c r="L198" s="19">
        <f>SUM(F198:K198)</f>
        <v>588751.11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98200</v>
      </c>
      <c r="G202" s="18">
        <v>38828.449999999997</v>
      </c>
      <c r="H202" s="18">
        <v>172894.16</v>
      </c>
      <c r="I202" s="18">
        <v>2282.36</v>
      </c>
      <c r="J202" s="18">
        <v>141.55000000000001</v>
      </c>
      <c r="K202" s="18"/>
      <c r="L202" s="19">
        <f t="shared" ref="L202:L208" si="0">SUM(F202:K202)</f>
        <v>312346.51999999996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7068.75</v>
      </c>
      <c r="G203" s="18">
        <v>585.19000000000005</v>
      </c>
      <c r="H203" s="18">
        <v>1857.66</v>
      </c>
      <c r="I203" s="18">
        <v>7513.65</v>
      </c>
      <c r="J203" s="18">
        <v>4385.5</v>
      </c>
      <c r="K203" s="18">
        <v>4866.8900000000003</v>
      </c>
      <c r="L203" s="19">
        <f t="shared" si="0"/>
        <v>26277.64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3496</v>
      </c>
      <c r="G204" s="18">
        <v>375.35</v>
      </c>
      <c r="H204" s="18">
        <v>137479.6</v>
      </c>
      <c r="I204" s="18"/>
      <c r="J204" s="18"/>
      <c r="K204" s="18">
        <v>13493.65</v>
      </c>
      <c r="L204" s="19">
        <f t="shared" si="0"/>
        <v>154844.6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135333.1</v>
      </c>
      <c r="G205" s="18">
        <v>80524.149999999994</v>
      </c>
      <c r="H205" s="18">
        <v>24839.29</v>
      </c>
      <c r="I205" s="18">
        <v>20842.73</v>
      </c>
      <c r="J205" s="18"/>
      <c r="K205" s="18"/>
      <c r="L205" s="19">
        <f t="shared" si="0"/>
        <v>261539.27000000002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56084.35</v>
      </c>
      <c r="G207" s="18">
        <v>25584.33</v>
      </c>
      <c r="H207" s="18">
        <v>92180.85</v>
      </c>
      <c r="I207" s="18">
        <v>52367.92</v>
      </c>
      <c r="J207" s="18">
        <v>10472.77</v>
      </c>
      <c r="K207" s="18"/>
      <c r="L207" s="19">
        <f t="shared" si="0"/>
        <v>236690.22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200</v>
      </c>
      <c r="G208" s="18">
        <v>45.64</v>
      </c>
      <c r="H208" s="18">
        <v>148260.01</v>
      </c>
      <c r="I208" s="18"/>
      <c r="J208" s="18"/>
      <c r="K208" s="18"/>
      <c r="L208" s="19">
        <f t="shared" si="0"/>
        <v>148505.65000000002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1525402.5100000002</v>
      </c>
      <c r="G211" s="41">
        <f t="shared" si="1"/>
        <v>697808.23999999987</v>
      </c>
      <c r="H211" s="41">
        <f t="shared" si="1"/>
        <v>627302.57000000007</v>
      </c>
      <c r="I211" s="41">
        <f t="shared" si="1"/>
        <v>97934.91</v>
      </c>
      <c r="J211" s="41">
        <f t="shared" si="1"/>
        <v>15830.51</v>
      </c>
      <c r="K211" s="41">
        <f t="shared" si="1"/>
        <v>18360.54</v>
      </c>
      <c r="L211" s="41">
        <f t="shared" si="1"/>
        <v>2982639.2800000003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1525402.5100000002</v>
      </c>
      <c r="G257" s="41">
        <f t="shared" si="8"/>
        <v>697808.23999999987</v>
      </c>
      <c r="H257" s="41">
        <f t="shared" si="8"/>
        <v>627302.57000000007</v>
      </c>
      <c r="I257" s="41">
        <f t="shared" si="8"/>
        <v>97934.91</v>
      </c>
      <c r="J257" s="41">
        <f t="shared" si="8"/>
        <v>15830.51</v>
      </c>
      <c r="K257" s="41">
        <f t="shared" si="8"/>
        <v>18360.54</v>
      </c>
      <c r="L257" s="41">
        <f t="shared" si="8"/>
        <v>2982639.2800000003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7018.33</v>
      </c>
      <c r="L263" s="19">
        <f>SUM(F263:K263)</f>
        <v>7018.33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82018.33</v>
      </c>
      <c r="L270" s="41">
        <f t="shared" si="9"/>
        <v>82018.33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1525402.5100000002</v>
      </c>
      <c r="G271" s="42">
        <f t="shared" si="11"/>
        <v>697808.23999999987</v>
      </c>
      <c r="H271" s="42">
        <f t="shared" si="11"/>
        <v>627302.57000000007</v>
      </c>
      <c r="I271" s="42">
        <f t="shared" si="11"/>
        <v>97934.91</v>
      </c>
      <c r="J271" s="42">
        <f t="shared" si="11"/>
        <v>15830.51</v>
      </c>
      <c r="K271" s="42">
        <f t="shared" si="11"/>
        <v>100378.87</v>
      </c>
      <c r="L271" s="42">
        <f t="shared" si="11"/>
        <v>3064657.6100000003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46671.66</v>
      </c>
      <c r="G276" s="18">
        <v>24954.59</v>
      </c>
      <c r="H276" s="18">
        <v>2872.5</v>
      </c>
      <c r="I276" s="18">
        <v>2657.1</v>
      </c>
      <c r="J276" s="18">
        <v>3093.94</v>
      </c>
      <c r="K276" s="18">
        <v>4689.9799999999996</v>
      </c>
      <c r="L276" s="19">
        <f>SUM(F276:K276)</f>
        <v>84939.77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23669.03</v>
      </c>
      <c r="G277" s="18">
        <v>5428.21</v>
      </c>
      <c r="H277" s="18"/>
      <c r="I277" s="18"/>
      <c r="J277" s="18"/>
      <c r="K277" s="18"/>
      <c r="L277" s="19">
        <f>SUM(F277:K277)</f>
        <v>29097.239999999998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3425</v>
      </c>
      <c r="G281" s="18">
        <v>716.31</v>
      </c>
      <c r="H281" s="18">
        <v>4134.95</v>
      </c>
      <c r="I281" s="18"/>
      <c r="J281" s="18"/>
      <c r="K281" s="18"/>
      <c r="L281" s="19">
        <f t="shared" ref="L281:L287" si="12">SUM(F281:K281)</f>
        <v>8276.2599999999984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7500</v>
      </c>
      <c r="G282" s="18">
        <v>1266.57</v>
      </c>
      <c r="H282" s="18">
        <v>2312.1</v>
      </c>
      <c r="I282" s="18"/>
      <c r="J282" s="18"/>
      <c r="K282" s="18"/>
      <c r="L282" s="19">
        <f t="shared" si="12"/>
        <v>11078.67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1263.95</v>
      </c>
      <c r="L283" s="19">
        <f t="shared" si="12"/>
        <v>1263.95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81265.69</v>
      </c>
      <c r="G290" s="42">
        <f t="shared" si="13"/>
        <v>32365.68</v>
      </c>
      <c r="H290" s="42">
        <f t="shared" si="13"/>
        <v>9319.5499999999993</v>
      </c>
      <c r="I290" s="42">
        <f t="shared" si="13"/>
        <v>2657.1</v>
      </c>
      <c r="J290" s="42">
        <f t="shared" si="13"/>
        <v>3093.94</v>
      </c>
      <c r="K290" s="42">
        <f t="shared" si="13"/>
        <v>5953.9299999999994</v>
      </c>
      <c r="L290" s="41">
        <f t="shared" si="13"/>
        <v>134655.89000000001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81265.69</v>
      </c>
      <c r="G338" s="41">
        <f t="shared" si="20"/>
        <v>32365.68</v>
      </c>
      <c r="H338" s="41">
        <f t="shared" si="20"/>
        <v>9319.5499999999993</v>
      </c>
      <c r="I338" s="41">
        <f t="shared" si="20"/>
        <v>2657.1</v>
      </c>
      <c r="J338" s="41">
        <f t="shared" si="20"/>
        <v>3093.94</v>
      </c>
      <c r="K338" s="41">
        <f t="shared" si="20"/>
        <v>5953.9299999999994</v>
      </c>
      <c r="L338" s="41">
        <f t="shared" si="20"/>
        <v>134655.89000000001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81265.69</v>
      </c>
      <c r="G352" s="41">
        <f>G338</f>
        <v>32365.68</v>
      </c>
      <c r="H352" s="41">
        <f>H338</f>
        <v>9319.5499999999993</v>
      </c>
      <c r="I352" s="41">
        <f>I338</f>
        <v>2657.1</v>
      </c>
      <c r="J352" s="41">
        <f>J338</f>
        <v>3093.94</v>
      </c>
      <c r="K352" s="47">
        <f>K338+K351</f>
        <v>5953.9299999999994</v>
      </c>
      <c r="L352" s="41">
        <f>L338+L351</f>
        <v>134655.89000000001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67126.399999999994</v>
      </c>
      <c r="I358" s="18"/>
      <c r="J358" s="18"/>
      <c r="K358" s="18"/>
      <c r="L358" s="13">
        <f>SUM(F358:K358)</f>
        <v>67126.399999999994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67126.399999999994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67126.399999999994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>
        <v>75000</v>
      </c>
      <c r="H392" s="18">
        <v>5269.7</v>
      </c>
      <c r="I392" s="18"/>
      <c r="J392" s="24" t="s">
        <v>288</v>
      </c>
      <c r="K392" s="24" t="s">
        <v>288</v>
      </c>
      <c r="L392" s="56">
        <f t="shared" si="25"/>
        <v>80269.7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5269.7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80269.7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5269.7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80269.7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>
        <v>25000</v>
      </c>
      <c r="L418" s="56">
        <f t="shared" si="27"/>
        <v>25000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25000</v>
      </c>
      <c r="L419" s="47">
        <f t="shared" si="28"/>
        <v>25000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25000</v>
      </c>
      <c r="L434" s="47">
        <f t="shared" si="32"/>
        <v>25000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223556.39</v>
      </c>
      <c r="G439" s="18"/>
      <c r="H439" s="18"/>
      <c r="I439" s="56">
        <f t="shared" ref="I439:I445" si="33">SUM(F439:H439)</f>
        <v>223556.39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223556.39</v>
      </c>
      <c r="G446" s="13">
        <f>SUM(G439:G445)</f>
        <v>0</v>
      </c>
      <c r="H446" s="13">
        <f>SUM(H439:H445)</f>
        <v>0</v>
      </c>
      <c r="I446" s="13">
        <f>SUM(I439:I445)</f>
        <v>223556.39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223556.39</v>
      </c>
      <c r="G459" s="18"/>
      <c r="H459" s="18"/>
      <c r="I459" s="56">
        <f t="shared" si="34"/>
        <v>223556.39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223556.39</v>
      </c>
      <c r="G460" s="83">
        <f>SUM(G454:G459)</f>
        <v>0</v>
      </c>
      <c r="H460" s="83">
        <f>SUM(H454:H459)</f>
        <v>0</v>
      </c>
      <c r="I460" s="83">
        <f>SUM(I454:I459)</f>
        <v>223556.39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223556.39</v>
      </c>
      <c r="G461" s="42">
        <f>G452+G460</f>
        <v>0</v>
      </c>
      <c r="H461" s="42">
        <f>H452+H460</f>
        <v>0</v>
      </c>
      <c r="I461" s="42">
        <f>I452+I460</f>
        <v>223556.39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230432.88</v>
      </c>
      <c r="G465" s="18"/>
      <c r="H465" s="18"/>
      <c r="I465" s="18"/>
      <c r="J465" s="18">
        <v>168286.69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2836267.78</v>
      </c>
      <c r="G468" s="18">
        <v>67126.399999999994</v>
      </c>
      <c r="H468" s="18">
        <v>134655.89000000001</v>
      </c>
      <c r="I468" s="18"/>
      <c r="J468" s="18">
        <v>80269.7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2836267.78</v>
      </c>
      <c r="G470" s="53">
        <f>SUM(G468:G469)</f>
        <v>67126.399999999994</v>
      </c>
      <c r="H470" s="53">
        <f>SUM(H468:H469)</f>
        <v>134655.89000000001</v>
      </c>
      <c r="I470" s="53">
        <f>SUM(I468:I469)</f>
        <v>0</v>
      </c>
      <c r="J470" s="53">
        <f>SUM(J468:J469)</f>
        <v>80269.7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3064657.61</v>
      </c>
      <c r="G472" s="18">
        <v>67126.399999999994</v>
      </c>
      <c r="H472" s="18">
        <v>134655.89000000001</v>
      </c>
      <c r="I472" s="18"/>
      <c r="J472" s="18">
        <v>25000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3064657.61</v>
      </c>
      <c r="G474" s="53">
        <f>SUM(G472:G473)</f>
        <v>67126.399999999994</v>
      </c>
      <c r="H474" s="53">
        <f>SUM(H472:H473)</f>
        <v>134655.89000000001</v>
      </c>
      <c r="I474" s="53">
        <f>SUM(I472:I473)</f>
        <v>0</v>
      </c>
      <c r="J474" s="53">
        <f>SUM(J472:J473)</f>
        <v>25000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2043.0499999998137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223556.39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238538.43</v>
      </c>
      <c r="G513" s="24" t="s">
        <v>288</v>
      </c>
      <c r="H513" s="18">
        <v>230584.38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37873.06</v>
      </c>
      <c r="G514" s="24" t="s">
        <v>288</v>
      </c>
      <c r="H514" s="18">
        <v>30915.13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276411.49</v>
      </c>
      <c r="G517" s="42">
        <f>SUM(G511:G516)</f>
        <v>0</v>
      </c>
      <c r="H517" s="42">
        <f>SUM(H511:H516)</f>
        <v>261499.51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413121.57</v>
      </c>
      <c r="G521" s="18">
        <v>157646.49</v>
      </c>
      <c r="H521" s="18">
        <v>44915.55</v>
      </c>
      <c r="I521" s="18">
        <v>1435.85</v>
      </c>
      <c r="J521" s="18">
        <v>728.89</v>
      </c>
      <c r="K521" s="18"/>
      <c r="L521" s="88">
        <f>SUM(F521:K521)</f>
        <v>617848.35000000009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413121.57</v>
      </c>
      <c r="G524" s="108">
        <f t="shared" ref="G524:L524" si="36">SUM(G521:G523)</f>
        <v>157646.49</v>
      </c>
      <c r="H524" s="108">
        <f t="shared" si="36"/>
        <v>44915.55</v>
      </c>
      <c r="I524" s="108">
        <f t="shared" si="36"/>
        <v>1435.85</v>
      </c>
      <c r="J524" s="108">
        <f t="shared" si="36"/>
        <v>728.89</v>
      </c>
      <c r="K524" s="108">
        <f t="shared" si="36"/>
        <v>0</v>
      </c>
      <c r="L524" s="89">
        <f t="shared" si="36"/>
        <v>617848.35000000009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 t="s">
        <v>286</v>
      </c>
      <c r="G526" s="18" t="s">
        <v>286</v>
      </c>
      <c r="H526" s="18">
        <v>172430.07999999999</v>
      </c>
      <c r="I526" s="18" t="s">
        <v>286</v>
      </c>
      <c r="J526" s="18" t="s">
        <v>286</v>
      </c>
      <c r="K526" s="18"/>
      <c r="L526" s="88">
        <f>SUM(F526:K526)</f>
        <v>172430.07999999999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 t="s">
        <v>286</v>
      </c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172430.07999999999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172430.07999999999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 t="s">
        <v>286</v>
      </c>
      <c r="G531" s="18" t="s">
        <v>286</v>
      </c>
      <c r="H531" s="18" t="s">
        <v>286</v>
      </c>
      <c r="I531" s="18" t="s">
        <v>286</v>
      </c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 t="s">
        <v>286</v>
      </c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 t="s">
        <v>286</v>
      </c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200</v>
      </c>
      <c r="G541" s="18">
        <v>45.64</v>
      </c>
      <c r="H541" s="18">
        <v>3653.96</v>
      </c>
      <c r="I541" s="18"/>
      <c r="J541" s="18"/>
      <c r="K541" s="18"/>
      <c r="L541" s="88">
        <f>SUM(F541:K541)</f>
        <v>3899.6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200</v>
      </c>
      <c r="G544" s="193">
        <f t="shared" ref="G544:L544" si="40">SUM(G541:G543)</f>
        <v>45.64</v>
      </c>
      <c r="H544" s="193">
        <f t="shared" si="40"/>
        <v>3653.96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3899.6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413321.57</v>
      </c>
      <c r="G545" s="89">
        <f t="shared" ref="G545:L545" si="41">G524+G529+G534+G539+G544</f>
        <v>157692.13</v>
      </c>
      <c r="H545" s="89">
        <f t="shared" si="41"/>
        <v>220999.59</v>
      </c>
      <c r="I545" s="89">
        <f t="shared" si="41"/>
        <v>1435.85</v>
      </c>
      <c r="J545" s="89">
        <f t="shared" si="41"/>
        <v>728.89</v>
      </c>
      <c r="K545" s="89">
        <f t="shared" si="41"/>
        <v>0</v>
      </c>
      <c r="L545" s="89">
        <f t="shared" si="41"/>
        <v>794178.03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617848.35000000009</v>
      </c>
      <c r="G549" s="87">
        <f>L526</f>
        <v>172430.07999999999</v>
      </c>
      <c r="H549" s="87">
        <f>L531</f>
        <v>0</v>
      </c>
      <c r="I549" s="87">
        <f>L536</f>
        <v>0</v>
      </c>
      <c r="J549" s="87">
        <f>L541</f>
        <v>3899.6</v>
      </c>
      <c r="K549" s="87">
        <f>SUM(F549:J549)</f>
        <v>794178.03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617848.35000000009</v>
      </c>
      <c r="G552" s="89">
        <f t="shared" si="42"/>
        <v>172430.07999999999</v>
      </c>
      <c r="H552" s="89">
        <f t="shared" si="42"/>
        <v>0</v>
      </c>
      <c r="I552" s="89">
        <f t="shared" si="42"/>
        <v>0</v>
      </c>
      <c r="J552" s="89">
        <f t="shared" si="42"/>
        <v>3899.6</v>
      </c>
      <c r="K552" s="89">
        <f t="shared" si="42"/>
        <v>794178.03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32156.5</v>
      </c>
      <c r="G567" s="18">
        <v>11327.83</v>
      </c>
      <c r="H567" s="18"/>
      <c r="I567" s="18">
        <v>504.2</v>
      </c>
      <c r="J567" s="18"/>
      <c r="K567" s="18"/>
      <c r="L567" s="88">
        <f>SUM(F567:K567)</f>
        <v>43988.53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32156.5</v>
      </c>
      <c r="G570" s="193">
        <f t="shared" ref="G570:L570" si="45">SUM(G567:G569)</f>
        <v>11327.83</v>
      </c>
      <c r="H570" s="193">
        <f t="shared" si="45"/>
        <v>0</v>
      </c>
      <c r="I570" s="193">
        <f t="shared" si="45"/>
        <v>504.2</v>
      </c>
      <c r="J570" s="193">
        <f t="shared" si="45"/>
        <v>0</v>
      </c>
      <c r="K570" s="193">
        <f t="shared" si="45"/>
        <v>0</v>
      </c>
      <c r="L570" s="193">
        <f t="shared" si="45"/>
        <v>43988.53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32156.5</v>
      </c>
      <c r="G571" s="89">
        <f t="shared" ref="G571:L571" si="46">G560+G565+G570</f>
        <v>11327.83</v>
      </c>
      <c r="H571" s="89">
        <f t="shared" si="46"/>
        <v>0</v>
      </c>
      <c r="I571" s="89">
        <f t="shared" si="46"/>
        <v>504.2</v>
      </c>
      <c r="J571" s="89">
        <f t="shared" si="46"/>
        <v>0</v>
      </c>
      <c r="K571" s="89">
        <f t="shared" si="46"/>
        <v>0</v>
      </c>
      <c r="L571" s="89">
        <f t="shared" si="46"/>
        <v>43988.53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137338</v>
      </c>
      <c r="I591" s="18"/>
      <c r="J591" s="18"/>
      <c r="K591" s="104">
        <f t="shared" ref="K591:K597" si="48">SUM(H591:J591)</f>
        <v>137338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3899.6</v>
      </c>
      <c r="I592" s="18"/>
      <c r="J592" s="18"/>
      <c r="K592" s="104">
        <f t="shared" si="48"/>
        <v>3899.6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7268.05</v>
      </c>
      <c r="I595" s="18"/>
      <c r="J595" s="18"/>
      <c r="K595" s="104">
        <f t="shared" si="48"/>
        <v>7268.05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148505.65</v>
      </c>
      <c r="I598" s="108">
        <f>SUM(I591:I597)</f>
        <v>0</v>
      </c>
      <c r="J598" s="108">
        <f>SUM(J591:J597)</f>
        <v>0</v>
      </c>
      <c r="K598" s="108">
        <f>SUM(K591:K597)</f>
        <v>148505.65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18924.45</v>
      </c>
      <c r="I604" s="18"/>
      <c r="J604" s="18"/>
      <c r="K604" s="104">
        <f>SUM(H604:J604)</f>
        <v>18924.45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18924.45</v>
      </c>
      <c r="I605" s="108">
        <f>SUM(I602:I604)</f>
        <v>0</v>
      </c>
      <c r="J605" s="108">
        <f>SUM(J602:J604)</f>
        <v>0</v>
      </c>
      <c r="K605" s="108">
        <f>SUM(K602:K604)</f>
        <v>18924.45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13060.6</v>
      </c>
      <c r="G611" s="18">
        <v>2951.19</v>
      </c>
      <c r="H611" s="18"/>
      <c r="I611" s="18"/>
      <c r="J611" s="18"/>
      <c r="K611" s="18"/>
      <c r="L611" s="88">
        <f>SUM(F611:K611)</f>
        <v>16011.79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 t="s">
        <v>286</v>
      </c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13060.6</v>
      </c>
      <c r="G614" s="108">
        <f t="shared" si="49"/>
        <v>2951.19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16011.79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45978.17</v>
      </c>
      <c r="H617" s="109">
        <f>SUM(F52)</f>
        <v>45978.170000000006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1493.869999999999</v>
      </c>
      <c r="H619" s="109">
        <f>SUM(H52)</f>
        <v>1493.87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223556.39</v>
      </c>
      <c r="H621" s="109">
        <f>SUM(J52)</f>
        <v>223556.39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2043.0499999999997</v>
      </c>
      <c r="H622" s="109">
        <f>F476</f>
        <v>2043.0499999998137</v>
      </c>
      <c r="I622" s="121" t="s">
        <v>101</v>
      </c>
      <c r="J622" s="109">
        <f t="shared" ref="J622:J655" si="50">G622-H622</f>
        <v>1.8599166651256382E-10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223556.39</v>
      </c>
      <c r="H626" s="109">
        <f>J476</f>
        <v>223556.39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2836267.7800000003</v>
      </c>
      <c r="H627" s="104">
        <f>SUM(F468)</f>
        <v>2836267.78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67126.399999999994</v>
      </c>
      <c r="H628" s="104">
        <f>SUM(G468)</f>
        <v>67126.399999999994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134655.89000000001</v>
      </c>
      <c r="H629" s="104">
        <f>SUM(H468)</f>
        <v>134655.89000000001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80269.7</v>
      </c>
      <c r="H631" s="104">
        <f>SUM(J468)</f>
        <v>80269.7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3064657.6100000003</v>
      </c>
      <c r="H632" s="104">
        <f>SUM(F472)</f>
        <v>3064657.61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134655.89000000001</v>
      </c>
      <c r="H633" s="104">
        <f>SUM(H472)</f>
        <v>134655.89000000001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67126.399999999994</v>
      </c>
      <c r="H635" s="104">
        <f>SUM(G472)</f>
        <v>67126.399999999994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80269.7</v>
      </c>
      <c r="H637" s="164">
        <f>SUM(J468)</f>
        <v>80269.7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25000</v>
      </c>
      <c r="H638" s="164">
        <f>SUM(J472)</f>
        <v>25000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223556.39</v>
      </c>
      <c r="H639" s="104">
        <f>SUM(F461)</f>
        <v>223556.39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223556.39</v>
      </c>
      <c r="H642" s="104">
        <f>SUM(I461)</f>
        <v>223556.39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5269.7</v>
      </c>
      <c r="H644" s="104">
        <f>H408</f>
        <v>5269.7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80269.7</v>
      </c>
      <c r="H646" s="104">
        <f>L408</f>
        <v>80269.7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148505.65</v>
      </c>
      <c r="H647" s="104">
        <f>L208+L226+L244</f>
        <v>148505.65000000002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18924.45</v>
      </c>
      <c r="H648" s="104">
        <f>(J257+J338)-(J255+J336)</f>
        <v>18924.45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148505.65000000002</v>
      </c>
      <c r="H649" s="104">
        <f>H598</f>
        <v>148505.65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7018.33</v>
      </c>
      <c r="H652" s="104">
        <f>K263+K345</f>
        <v>7018.33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3184421.5700000003</v>
      </c>
      <c r="G660" s="19">
        <f>(L229+L309+L359)</f>
        <v>0</v>
      </c>
      <c r="H660" s="19">
        <f>(L247+L328+L360)</f>
        <v>0</v>
      </c>
      <c r="I660" s="19">
        <f>SUM(F660:H660)</f>
        <v>3184421.5700000003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20052.939999999999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20052.939999999999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148505.65000000002</v>
      </c>
      <c r="G662" s="19">
        <f>(L226+L306)-(J226+J306)</f>
        <v>0</v>
      </c>
      <c r="H662" s="19">
        <f>(L244+L325)-(J244+J325)</f>
        <v>0</v>
      </c>
      <c r="I662" s="19">
        <f>SUM(F662:H662)</f>
        <v>148505.65000000002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34936.240000000005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34936.240000000005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2980926.74</v>
      </c>
      <c r="G664" s="19">
        <f>G660-SUM(G661:G663)</f>
        <v>0</v>
      </c>
      <c r="H664" s="19">
        <f>H660-SUM(H661:H663)</f>
        <v>0</v>
      </c>
      <c r="I664" s="19">
        <f>I660-SUM(I661:I663)</f>
        <v>2980926.74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156.58000000000001</v>
      </c>
      <c r="G665" s="248" t="s">
        <v>913</v>
      </c>
      <c r="H665" s="248"/>
      <c r="I665" s="19">
        <f>SUM(F665:H665)</f>
        <v>156.58000000000001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19037.72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19037.72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19037.72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19037.72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BETHLEHEM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882239.43</v>
      </c>
      <c r="C9" s="229">
        <f>'DOE25'!G197+'DOE25'!G215+'DOE25'!G233+'DOE25'!G276+'DOE25'!G295+'DOE25'!G314</f>
        <v>424601.44</v>
      </c>
    </row>
    <row r="10" spans="1:3" x14ac:dyDescent="0.2">
      <c r="A10" t="s">
        <v>778</v>
      </c>
      <c r="B10" s="240">
        <v>833107.87</v>
      </c>
      <c r="C10" s="240">
        <v>420638.9</v>
      </c>
    </row>
    <row r="11" spans="1:3" x14ac:dyDescent="0.2">
      <c r="A11" t="s">
        <v>779</v>
      </c>
      <c r="B11" s="240">
        <v>15908.76</v>
      </c>
      <c r="C11" s="240">
        <v>1421</v>
      </c>
    </row>
    <row r="12" spans="1:3" x14ac:dyDescent="0.2">
      <c r="A12" t="s">
        <v>780</v>
      </c>
      <c r="B12" s="240">
        <v>33222.800000000003</v>
      </c>
      <c r="C12" s="240">
        <v>2541.54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882239.43</v>
      </c>
      <c r="C13" s="231">
        <f>SUM(C10:C12)</f>
        <v>424601.44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413121.56999999995</v>
      </c>
      <c r="C18" s="229">
        <f>'DOE25'!G198+'DOE25'!G216+'DOE25'!G234+'DOE25'!G277+'DOE25'!G296+'DOE25'!G315</f>
        <v>157646.49</v>
      </c>
    </row>
    <row r="19" spans="1:3" x14ac:dyDescent="0.2">
      <c r="A19" t="s">
        <v>778</v>
      </c>
      <c r="B19" s="240">
        <v>192392.26</v>
      </c>
      <c r="C19" s="240">
        <v>78723</v>
      </c>
    </row>
    <row r="20" spans="1:3" x14ac:dyDescent="0.2">
      <c r="A20" t="s">
        <v>779</v>
      </c>
      <c r="B20" s="240">
        <v>204528.41</v>
      </c>
      <c r="C20" s="240">
        <v>77684.12</v>
      </c>
    </row>
    <row r="21" spans="1:3" x14ac:dyDescent="0.2">
      <c r="A21" t="s">
        <v>780</v>
      </c>
      <c r="B21" s="240">
        <v>16200.9</v>
      </c>
      <c r="C21" s="240">
        <v>1239.3699999999999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413121.57000000007</v>
      </c>
      <c r="C22" s="231">
        <f>SUM(C19:C21)</f>
        <v>157646.49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BETHLEHEM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1842435.38</v>
      </c>
      <c r="D5" s="20">
        <f>SUM('DOE25'!L197:L200)+SUM('DOE25'!L215:L218)+SUM('DOE25'!L233:L236)-F5-G5</f>
        <v>1841604.69</v>
      </c>
      <c r="E5" s="243"/>
      <c r="F5" s="255">
        <f>SUM('DOE25'!J197:J200)+SUM('DOE25'!J215:J218)+SUM('DOE25'!J233:J236)</f>
        <v>830.68999999999994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312346.51999999996</v>
      </c>
      <c r="D6" s="20">
        <f>'DOE25'!L202+'DOE25'!L220+'DOE25'!L238-F6-G6</f>
        <v>312204.96999999997</v>
      </c>
      <c r="E6" s="243"/>
      <c r="F6" s="255">
        <f>'DOE25'!J202+'DOE25'!J220+'DOE25'!J238</f>
        <v>141.55000000000001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26277.64</v>
      </c>
      <c r="D7" s="20">
        <f>'DOE25'!L203+'DOE25'!L221+'DOE25'!L239-F7-G7</f>
        <v>17025.25</v>
      </c>
      <c r="E7" s="243"/>
      <c r="F7" s="255">
        <f>'DOE25'!J203+'DOE25'!J221+'DOE25'!J239</f>
        <v>4385.5</v>
      </c>
      <c r="G7" s="53">
        <f>'DOE25'!K203+'DOE25'!K221+'DOE25'!K239</f>
        <v>4866.8900000000003</v>
      </c>
      <c r="H7" s="259"/>
    </row>
    <row r="8" spans="1:9" x14ac:dyDescent="0.2">
      <c r="A8" s="32">
        <v>2300</v>
      </c>
      <c r="B8" t="s">
        <v>801</v>
      </c>
      <c r="C8" s="245">
        <f t="shared" si="0"/>
        <v>81823.75</v>
      </c>
      <c r="D8" s="243"/>
      <c r="E8" s="20">
        <f>'DOE25'!L204+'DOE25'!L222+'DOE25'!L240-F8-G8-D9-D11</f>
        <v>68330.100000000006</v>
      </c>
      <c r="F8" s="255">
        <f>'DOE25'!J204+'DOE25'!J222+'DOE25'!J240</f>
        <v>0</v>
      </c>
      <c r="G8" s="53">
        <f>'DOE25'!K204+'DOE25'!K222+'DOE25'!K240</f>
        <v>13493.65</v>
      </c>
      <c r="H8" s="259"/>
    </row>
    <row r="9" spans="1:9" x14ac:dyDescent="0.2">
      <c r="A9" s="32">
        <v>2310</v>
      </c>
      <c r="B9" t="s">
        <v>817</v>
      </c>
      <c r="C9" s="245">
        <f t="shared" si="0"/>
        <v>39035.599999999999</v>
      </c>
      <c r="D9" s="244">
        <v>39035.599999999999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7501</v>
      </c>
      <c r="D10" s="243"/>
      <c r="E10" s="244">
        <v>7501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33985.25</v>
      </c>
      <c r="D11" s="244">
        <v>33985.25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261539.27000000002</v>
      </c>
      <c r="D12" s="20">
        <f>'DOE25'!L205+'DOE25'!L223+'DOE25'!L241-F12-G12</f>
        <v>261539.27000000002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236690.22</v>
      </c>
      <c r="D14" s="20">
        <f>'DOE25'!L207+'DOE25'!L225+'DOE25'!L243-F14-G14</f>
        <v>226217.45</v>
      </c>
      <c r="E14" s="243"/>
      <c r="F14" s="255">
        <f>'DOE25'!J207+'DOE25'!J225+'DOE25'!J243</f>
        <v>10472.77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148505.65000000002</v>
      </c>
      <c r="D15" s="20">
        <f>'DOE25'!L208+'DOE25'!L226+'DOE25'!L244-F15-G15</f>
        <v>148505.65000000002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67126.399999999994</v>
      </c>
      <c r="D29" s="20">
        <f>'DOE25'!L358+'DOE25'!L359+'DOE25'!L360-'DOE25'!I367-F29-G29</f>
        <v>67126.399999999994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134655.89000000001</v>
      </c>
      <c r="D31" s="20">
        <f>'DOE25'!L290+'DOE25'!L309+'DOE25'!L328+'DOE25'!L333+'DOE25'!L334+'DOE25'!L335-F31-G31</f>
        <v>125608.02000000002</v>
      </c>
      <c r="E31" s="243"/>
      <c r="F31" s="255">
        <f>'DOE25'!J290+'DOE25'!J309+'DOE25'!J328+'DOE25'!J333+'DOE25'!J334+'DOE25'!J335</f>
        <v>3093.94</v>
      </c>
      <c r="G31" s="53">
        <f>'DOE25'!K290+'DOE25'!K309+'DOE25'!K328+'DOE25'!K333+'DOE25'!K334+'DOE25'!K335</f>
        <v>5953.9299999999994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3072852.5500000003</v>
      </c>
      <c r="E33" s="246">
        <f>SUM(E5:E31)</f>
        <v>75831.100000000006</v>
      </c>
      <c r="F33" s="246">
        <f>SUM(F5:F31)</f>
        <v>18924.45</v>
      </c>
      <c r="G33" s="246">
        <f>SUM(G5:G31)</f>
        <v>24314.47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75831.100000000006</v>
      </c>
      <c r="E35" s="249"/>
    </row>
    <row r="36" spans="2:8" ht="12" thickTop="1" x14ac:dyDescent="0.2">
      <c r="B36" t="s">
        <v>814</v>
      </c>
      <c r="D36" s="20">
        <f>D33</f>
        <v>3072852.5500000003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BETHLEHEM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4999.99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223556.39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35260.61</v>
      </c>
      <c r="D11" s="95">
        <f>'DOE25'!G12</f>
        <v>-4332.2700000000004</v>
      </c>
      <c r="E11" s="95">
        <f>'DOE25'!H12</f>
        <v>-30928.34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1852.76</v>
      </c>
      <c r="D12" s="95">
        <f>'DOE25'!G13</f>
        <v>2945.92</v>
      </c>
      <c r="E12" s="95">
        <f>'DOE25'!H13</f>
        <v>32422.21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3864.81</v>
      </c>
      <c r="D13" s="95">
        <f>'DOE25'!G14</f>
        <v>1386.35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45978.17</v>
      </c>
      <c r="D18" s="41">
        <f>SUM(D8:D17)</f>
        <v>-4.5474735088646412E-13</v>
      </c>
      <c r="E18" s="41">
        <f>SUM(E8:E17)</f>
        <v>1493.869999999999</v>
      </c>
      <c r="F18" s="41">
        <f>SUM(F8:F17)</f>
        <v>0</v>
      </c>
      <c r="G18" s="41">
        <f>SUM(G8:G17)</f>
        <v>223556.39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43935.12</v>
      </c>
      <c r="D23" s="95">
        <f>'DOE25'!G24</f>
        <v>0</v>
      </c>
      <c r="E23" s="95">
        <f>'DOE25'!H24</f>
        <v>1493.87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43935.12</v>
      </c>
      <c r="D31" s="41">
        <f>SUM(D21:D30)</f>
        <v>0</v>
      </c>
      <c r="E31" s="41">
        <f>SUM(E21:E30)</f>
        <v>1493.87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4999.99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223556.39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-2956.94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2043.0499999999997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223556.39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45978.170000000006</v>
      </c>
      <c r="D51" s="41">
        <f>D50+D31</f>
        <v>0</v>
      </c>
      <c r="E51" s="41">
        <f>E50+E31</f>
        <v>1493.87</v>
      </c>
      <c r="F51" s="41">
        <f>F50+F31</f>
        <v>0</v>
      </c>
      <c r="G51" s="41">
        <f>G50+G31</f>
        <v>223556.39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1780790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471.24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5269.7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20052.939999999999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9654.81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10126.049999999999</v>
      </c>
      <c r="D62" s="130">
        <f>SUM(D57:D61)</f>
        <v>20052.939999999999</v>
      </c>
      <c r="E62" s="130">
        <f>SUM(E57:E61)</f>
        <v>0</v>
      </c>
      <c r="F62" s="130">
        <f>SUM(F57:F61)</f>
        <v>0</v>
      </c>
      <c r="G62" s="130">
        <f>SUM(G57:G61)</f>
        <v>5269.7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1790916.05</v>
      </c>
      <c r="D63" s="22">
        <f>D56+D62</f>
        <v>20052.939999999999</v>
      </c>
      <c r="E63" s="22">
        <f>E56+E62</f>
        <v>0</v>
      </c>
      <c r="F63" s="22">
        <f>F56+F62</f>
        <v>0</v>
      </c>
      <c r="G63" s="22">
        <f>G56+G62</f>
        <v>5269.7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658333.11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265676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924009.11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36832.54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826.98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36832.54</v>
      </c>
      <c r="D78" s="130">
        <f>SUM(D72:D77)</f>
        <v>826.98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960841.65</v>
      </c>
      <c r="D81" s="130">
        <f>SUM(D79:D80)+D78+D70</f>
        <v>826.98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44476.09</v>
      </c>
      <c r="D88" s="95">
        <f>SUM('DOE25'!G153:G161)</f>
        <v>39228.15</v>
      </c>
      <c r="E88" s="95">
        <f>SUM('DOE25'!H153:H161)</f>
        <v>134655.89000000001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15033.99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59510.079999999994</v>
      </c>
      <c r="D91" s="131">
        <f>SUM(D85:D90)</f>
        <v>39228.15</v>
      </c>
      <c r="E91" s="131">
        <f>SUM(E85:E90)</f>
        <v>134655.89000000001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7018.33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25000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25000</v>
      </c>
      <c r="D103" s="86">
        <f>SUM(D93:D102)</f>
        <v>7018.33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2836267.7800000003</v>
      </c>
      <c r="D104" s="86">
        <f>D63+D81+D91+D103</f>
        <v>67126.399999999994</v>
      </c>
      <c r="E104" s="86">
        <f>E63+E81+E91+E103</f>
        <v>134655.89000000001</v>
      </c>
      <c r="F104" s="86">
        <f>F63+F81+F91+F103</f>
        <v>0</v>
      </c>
      <c r="G104" s="86">
        <f>G63+G81+G103</f>
        <v>80269.7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1253684.27</v>
      </c>
      <c r="D109" s="24" t="s">
        <v>288</v>
      </c>
      <c r="E109" s="95">
        <f>('DOE25'!L276)+('DOE25'!L295)+('DOE25'!L314)</f>
        <v>84939.77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588751.11</v>
      </c>
      <c r="D110" s="24" t="s">
        <v>288</v>
      </c>
      <c r="E110" s="95">
        <f>('DOE25'!L277)+('DOE25'!L296)+('DOE25'!L315)</f>
        <v>29097.239999999998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1842435.38</v>
      </c>
      <c r="D115" s="86">
        <f>SUM(D109:D114)</f>
        <v>0</v>
      </c>
      <c r="E115" s="86">
        <f>SUM(E109:E114)</f>
        <v>114037.01000000001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312346.51999999996</v>
      </c>
      <c r="D118" s="24" t="s">
        <v>288</v>
      </c>
      <c r="E118" s="95">
        <f>+('DOE25'!L281)+('DOE25'!L300)+('DOE25'!L319)</f>
        <v>8276.2599999999984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26277.64</v>
      </c>
      <c r="D119" s="24" t="s">
        <v>288</v>
      </c>
      <c r="E119" s="95">
        <f>+('DOE25'!L282)+('DOE25'!L301)+('DOE25'!L320)</f>
        <v>11078.67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154844.6</v>
      </c>
      <c r="D120" s="24" t="s">
        <v>288</v>
      </c>
      <c r="E120" s="95">
        <f>+('DOE25'!L283)+('DOE25'!L302)+('DOE25'!L321)</f>
        <v>1263.95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261539.27000000002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236690.22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148505.65000000002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67126.399999999994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1140203.8999999999</v>
      </c>
      <c r="D128" s="86">
        <f>SUM(D118:D127)</f>
        <v>67126.399999999994</v>
      </c>
      <c r="E128" s="86">
        <f>SUM(E118:E127)</f>
        <v>20618.88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25000</v>
      </c>
    </row>
    <row r="135" spans="1:7" x14ac:dyDescent="0.2">
      <c r="A135" t="s">
        <v>233</v>
      </c>
      <c r="B135" s="32" t="s">
        <v>234</v>
      </c>
      <c r="C135" s="95">
        <f>'DOE25'!L263</f>
        <v>7018.33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80269.7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-5269.6999999999971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82018.33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25000</v>
      </c>
    </row>
    <row r="145" spans="1:9" ht="12.75" thickTop="1" thickBot="1" x14ac:dyDescent="0.25">
      <c r="A145" s="33" t="s">
        <v>244</v>
      </c>
      <c r="C145" s="86">
        <f>(C115+C128+C144)</f>
        <v>3064657.61</v>
      </c>
      <c r="D145" s="86">
        <f>(D115+D128+D144)</f>
        <v>67126.399999999994</v>
      </c>
      <c r="E145" s="86">
        <f>(E115+E128+E144)</f>
        <v>134655.89000000001</v>
      </c>
      <c r="F145" s="86">
        <f>(F115+F128+F144)</f>
        <v>0</v>
      </c>
      <c r="G145" s="86">
        <f>(G115+G128+G144)</f>
        <v>25000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BETHLEHEM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19038</v>
      </c>
    </row>
    <row r="5" spans="1:4" x14ac:dyDescent="0.2">
      <c r="B5" t="s">
        <v>703</v>
      </c>
      <c r="C5" s="179" t="e">
        <f>IF('DOE25'!G665+'DOE25'!G670=0,0,ROUND('DOE25'!G672,0))</f>
        <v>#VALUE!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19038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1338624</v>
      </c>
      <c r="D10" s="182">
        <f>ROUND((C10/$C$28)*100,1)</f>
        <v>42.3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617848</v>
      </c>
      <c r="D11" s="182">
        <f>ROUND((C11/$C$28)*100,1)</f>
        <v>19.5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320623</v>
      </c>
      <c r="D15" s="182">
        <f t="shared" ref="D15:D27" si="0">ROUND((C15/$C$28)*100,1)</f>
        <v>10.1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37356</v>
      </c>
      <c r="D16" s="182">
        <f t="shared" si="0"/>
        <v>1.2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156109</v>
      </c>
      <c r="D17" s="182">
        <f t="shared" si="0"/>
        <v>4.9000000000000004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261539</v>
      </c>
      <c r="D18" s="182">
        <f t="shared" si="0"/>
        <v>8.3000000000000007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236690</v>
      </c>
      <c r="D20" s="182">
        <f t="shared" si="0"/>
        <v>7.5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148506</v>
      </c>
      <c r="D21" s="182">
        <f t="shared" si="0"/>
        <v>4.7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47073.06</v>
      </c>
      <c r="D27" s="182">
        <f t="shared" si="0"/>
        <v>1.5</v>
      </c>
    </row>
    <row r="28" spans="1:4" x14ac:dyDescent="0.2">
      <c r="B28" s="187" t="s">
        <v>722</v>
      </c>
      <c r="C28" s="180">
        <f>SUM(C10:C27)</f>
        <v>3164368.06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3164368.06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1780790</v>
      </c>
      <c r="D35" s="182">
        <f t="shared" ref="D35:D40" si="1">ROUND((C35/$C$41)*100,1)</f>
        <v>59.5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15395.75</v>
      </c>
      <c r="D36" s="182">
        <f t="shared" si="1"/>
        <v>0.5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924009</v>
      </c>
      <c r="D37" s="182">
        <f t="shared" si="1"/>
        <v>30.9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37660</v>
      </c>
      <c r="D38" s="182">
        <f t="shared" si="1"/>
        <v>1.3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233394</v>
      </c>
      <c r="D39" s="182">
        <f t="shared" si="1"/>
        <v>7.8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2991248.75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BETHLEHEM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2017-09-07T18:50:37Z</cp:lastPrinted>
  <dcterms:created xsi:type="dcterms:W3CDTF">1997-12-04T19:04:30Z</dcterms:created>
  <dcterms:modified xsi:type="dcterms:W3CDTF">2017-11-29T17:11:03Z</dcterms:modified>
</cp:coreProperties>
</file>