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415" i="1" l="1"/>
  <c r="C20" i="12" l="1"/>
  <c r="B20" i="12"/>
  <c r="C10" i="12"/>
  <c r="B10" i="12"/>
  <c r="G12" i="1" l="1"/>
  <c r="G97" i="1"/>
  <c r="J465" i="1" l="1"/>
  <c r="H389" i="1"/>
  <c r="D9" i="13" l="1"/>
  <c r="F29" i="1"/>
  <c r="H591" i="1"/>
  <c r="J591" i="1"/>
  <c r="I591" i="1"/>
  <c r="J594" i="1"/>
  <c r="J592" i="1"/>
  <c r="I592" i="1"/>
  <c r="H592" i="1"/>
  <c r="J593" i="1"/>
  <c r="H528" i="1"/>
  <c r="H527" i="1"/>
  <c r="H526" i="1"/>
  <c r="J528" i="1"/>
  <c r="J527" i="1"/>
  <c r="J526" i="1"/>
  <c r="I528" i="1"/>
  <c r="I527" i="1"/>
  <c r="I526" i="1"/>
  <c r="G528" i="1"/>
  <c r="G527" i="1"/>
  <c r="G526" i="1"/>
  <c r="F527" i="1"/>
  <c r="F528" i="1"/>
  <c r="F526" i="1"/>
  <c r="K523" i="1" l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K557" i="1"/>
  <c r="G557" i="1"/>
  <c r="F557" i="1"/>
  <c r="G567" i="1"/>
  <c r="I568" i="1"/>
  <c r="I567" i="1"/>
  <c r="F567" i="1"/>
  <c r="F499" i="1"/>
  <c r="F502" i="1"/>
  <c r="H244" i="1" l="1"/>
  <c r="J244" i="1"/>
  <c r="J226" i="1"/>
  <c r="J208" i="1"/>
  <c r="I244" i="1"/>
  <c r="I226" i="1"/>
  <c r="I208" i="1"/>
  <c r="H226" i="1"/>
  <c r="H208" i="1"/>
  <c r="G244" i="1"/>
  <c r="G226" i="1"/>
  <c r="G208" i="1"/>
  <c r="F244" i="1"/>
  <c r="F226" i="1"/>
  <c r="F208" i="1"/>
  <c r="K244" i="1"/>
  <c r="K226" i="1"/>
  <c r="K208" i="1"/>
  <c r="H243" i="1"/>
  <c r="H225" i="1"/>
  <c r="H207" i="1"/>
  <c r="G243" i="1"/>
  <c r="G225" i="1"/>
  <c r="G207" i="1"/>
  <c r="I243" i="1"/>
  <c r="I225" i="1"/>
  <c r="I207" i="1"/>
  <c r="F243" i="1"/>
  <c r="F225" i="1"/>
  <c r="F207" i="1"/>
  <c r="J243" i="1"/>
  <c r="G241" i="1"/>
  <c r="G223" i="1"/>
  <c r="G205" i="1"/>
  <c r="K241" i="1"/>
  <c r="K223" i="1"/>
  <c r="K205" i="1"/>
  <c r="J205" i="1"/>
  <c r="J241" i="1"/>
  <c r="I241" i="1"/>
  <c r="I223" i="1"/>
  <c r="I205" i="1"/>
  <c r="H241" i="1"/>
  <c r="H223" i="1"/>
  <c r="H205" i="1"/>
  <c r="F241" i="1"/>
  <c r="F223" i="1"/>
  <c r="F205" i="1"/>
  <c r="F240" i="1"/>
  <c r="F222" i="1"/>
  <c r="F204" i="1"/>
  <c r="H240" i="1"/>
  <c r="H222" i="1"/>
  <c r="H204" i="1"/>
  <c r="G240" i="1"/>
  <c r="G222" i="1"/>
  <c r="G204" i="1"/>
  <c r="K240" i="1"/>
  <c r="K222" i="1"/>
  <c r="K204" i="1"/>
  <c r="I240" i="1"/>
  <c r="I222" i="1"/>
  <c r="I204" i="1"/>
  <c r="G239" i="1"/>
  <c r="G221" i="1"/>
  <c r="G203" i="1"/>
  <c r="J239" i="1"/>
  <c r="J221" i="1"/>
  <c r="J203" i="1"/>
  <c r="H239" i="1"/>
  <c r="H221" i="1"/>
  <c r="H203" i="1"/>
  <c r="F239" i="1"/>
  <c r="F221" i="1"/>
  <c r="F203" i="1"/>
  <c r="I203" i="1"/>
  <c r="K239" i="1"/>
  <c r="I239" i="1"/>
  <c r="I221" i="1"/>
  <c r="G238" i="1"/>
  <c r="G220" i="1"/>
  <c r="G202" i="1"/>
  <c r="J238" i="1"/>
  <c r="J220" i="1"/>
  <c r="H238" i="1"/>
  <c r="H220" i="1"/>
  <c r="F238" i="1"/>
  <c r="F220" i="1"/>
  <c r="F202" i="1"/>
  <c r="J202" i="1"/>
  <c r="I238" i="1"/>
  <c r="I220" i="1"/>
  <c r="I202" i="1"/>
  <c r="H202" i="1"/>
  <c r="K238" i="1"/>
  <c r="G236" i="1"/>
  <c r="F236" i="1"/>
  <c r="G218" i="1"/>
  <c r="F218" i="1"/>
  <c r="K236" i="1"/>
  <c r="K218" i="1"/>
  <c r="J236" i="1"/>
  <c r="J218" i="1"/>
  <c r="I236" i="1"/>
  <c r="I218" i="1"/>
  <c r="I200" i="1"/>
  <c r="H236" i="1"/>
  <c r="H218" i="1"/>
  <c r="G200" i="1"/>
  <c r="K200" i="1"/>
  <c r="F200" i="1"/>
  <c r="G216" i="1"/>
  <c r="G198" i="1"/>
  <c r="I216" i="1"/>
  <c r="I198" i="1"/>
  <c r="F216" i="1"/>
  <c r="F198" i="1"/>
  <c r="H216" i="1"/>
  <c r="H198" i="1"/>
  <c r="H234" i="1"/>
  <c r="G234" i="1"/>
  <c r="F234" i="1"/>
  <c r="K234" i="1"/>
  <c r="K216" i="1"/>
  <c r="K198" i="1"/>
  <c r="J234" i="1"/>
  <c r="J216" i="1"/>
  <c r="J198" i="1"/>
  <c r="I234" i="1"/>
  <c r="G233" i="1"/>
  <c r="G215" i="1"/>
  <c r="G197" i="1"/>
  <c r="I233" i="1"/>
  <c r="I215" i="1"/>
  <c r="I197" i="1"/>
  <c r="H233" i="1"/>
  <c r="H215" i="1"/>
  <c r="H197" i="1"/>
  <c r="K233" i="1"/>
  <c r="K215" i="1"/>
  <c r="J233" i="1"/>
  <c r="J215" i="1"/>
  <c r="J197" i="1"/>
  <c r="F233" i="1"/>
  <c r="F215" i="1"/>
  <c r="F197" i="1"/>
  <c r="F468" i="1" l="1"/>
  <c r="F117" i="1"/>
  <c r="F110" i="1"/>
  <c r="F63" i="1" l="1"/>
  <c r="F69" i="1"/>
  <c r="F68" i="1"/>
  <c r="H23" i="1" l="1"/>
  <c r="K277" i="1"/>
  <c r="K315" i="1"/>
  <c r="K296" i="1"/>
  <c r="F319" i="1"/>
  <c r="F300" i="1"/>
  <c r="F281" i="1"/>
  <c r="H319" i="1"/>
  <c r="H300" i="1"/>
  <c r="H281" i="1"/>
  <c r="J315" i="1"/>
  <c r="J296" i="1"/>
  <c r="J277" i="1"/>
  <c r="I315" i="1"/>
  <c r="I296" i="1"/>
  <c r="I277" i="1"/>
  <c r="H315" i="1"/>
  <c r="H296" i="1"/>
  <c r="H277" i="1"/>
  <c r="F315" i="1"/>
  <c r="F296" i="1"/>
  <c r="F277" i="1"/>
  <c r="G315" i="1"/>
  <c r="G296" i="1"/>
  <c r="G277" i="1"/>
  <c r="J320" i="1"/>
  <c r="H320" i="1"/>
  <c r="I287" i="1"/>
  <c r="G282" i="1"/>
  <c r="F282" i="1"/>
  <c r="G301" i="1"/>
  <c r="F301" i="1"/>
  <c r="F320" i="1"/>
  <c r="H468" i="1"/>
  <c r="H155" i="1"/>
  <c r="H154" i="1"/>
  <c r="H367" i="1"/>
  <c r="G367" i="1"/>
  <c r="F367" i="1"/>
  <c r="G472" i="1"/>
  <c r="G132" i="1" l="1"/>
  <c r="C45" i="2" l="1"/>
  <c r="C37" i="10" l="1"/>
  <c r="F40" i="2" l="1"/>
  <c r="D39" i="2"/>
  <c r="G655" i="1"/>
  <c r="F48" i="2"/>
  <c r="E48" i="2"/>
  <c r="D48" i="2"/>
  <c r="C48" i="2"/>
  <c r="F47" i="2"/>
  <c r="E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C110" i="2" s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F14" i="13"/>
  <c r="G14" i="13"/>
  <c r="L207" i="1"/>
  <c r="L225" i="1"/>
  <c r="F15" i="13"/>
  <c r="G15" i="13"/>
  <c r="L208" i="1"/>
  <c r="L226" i="1"/>
  <c r="G650" i="1" s="1"/>
  <c r="L244" i="1"/>
  <c r="G651" i="1" s="1"/>
  <c r="F17" i="13"/>
  <c r="G17" i="13"/>
  <c r="L251" i="1"/>
  <c r="F18" i="13"/>
  <c r="G18" i="13"/>
  <c r="L252" i="1"/>
  <c r="F19" i="13"/>
  <c r="G19" i="13"/>
  <c r="L253" i="1"/>
  <c r="D19" i="13" s="1"/>
  <c r="C19" i="13" s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J60" i="1"/>
  <c r="G56" i="2" s="1"/>
  <c r="G59" i="2"/>
  <c r="G61" i="2"/>
  <c r="G62" i="2" s="1"/>
  <c r="F2" i="11"/>
  <c r="L613" i="1"/>
  <c r="L612" i="1"/>
  <c r="L611" i="1"/>
  <c r="C40" i="10"/>
  <c r="F60" i="1"/>
  <c r="G60" i="1"/>
  <c r="H60" i="1"/>
  <c r="E56" i="2" s="1"/>
  <c r="I60" i="1"/>
  <c r="F79" i="1"/>
  <c r="C57" i="2" s="1"/>
  <c r="F94" i="1"/>
  <c r="F111" i="1"/>
  <c r="G111" i="1"/>
  <c r="H79" i="1"/>
  <c r="E57" i="2" s="1"/>
  <c r="H94" i="1"/>
  <c r="E58" i="2" s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I169" i="1" s="1"/>
  <c r="L250" i="1"/>
  <c r="L332" i="1"/>
  <c r="L254" i="1"/>
  <c r="L268" i="1"/>
  <c r="L269" i="1"/>
  <c r="C143" i="2" s="1"/>
  <c r="L349" i="1"/>
  <c r="L350" i="1"/>
  <c r="E143" i="2" s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F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D115" i="2"/>
  <c r="F115" i="2"/>
  <c r="G115" i="2"/>
  <c r="E119" i="2"/>
  <c r="E120" i="2"/>
  <c r="E123" i="2"/>
  <c r="E124" i="2"/>
  <c r="F128" i="2"/>
  <c r="G128" i="2"/>
  <c r="D134" i="2"/>
  <c r="D144" i="2" s="1"/>
  <c r="F134" i="2"/>
  <c r="K419" i="1"/>
  <c r="K427" i="1"/>
  <c r="K433" i="1"/>
  <c r="L263" i="1"/>
  <c r="C135" i="2" s="1"/>
  <c r="E135" i="2"/>
  <c r="L265" i="1"/>
  <c r="C137" i="2" s="1"/>
  <c r="E137" i="2"/>
  <c r="C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H32" i="1"/>
  <c r="I32" i="1"/>
  <c r="H51" i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H604" i="1" s="1"/>
  <c r="H605" i="1" s="1"/>
  <c r="K211" i="1"/>
  <c r="F229" i="1"/>
  <c r="G229" i="1"/>
  <c r="H229" i="1"/>
  <c r="I229" i="1"/>
  <c r="J229" i="1"/>
  <c r="I604" i="1" s="1"/>
  <c r="K604" i="1" s="1"/>
  <c r="K229" i="1"/>
  <c r="F247" i="1"/>
  <c r="G247" i="1"/>
  <c r="J247" i="1"/>
  <c r="J604" i="1" s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F461" i="1" s="1"/>
  <c r="H639" i="1" s="1"/>
  <c r="G460" i="1"/>
  <c r="H460" i="1"/>
  <c r="H461" i="1" s="1"/>
  <c r="H641" i="1" s="1"/>
  <c r="F470" i="1"/>
  <c r="H470" i="1"/>
  <c r="I470" i="1"/>
  <c r="G474" i="1"/>
  <c r="I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J605" i="1"/>
  <c r="F614" i="1"/>
  <c r="G614" i="1"/>
  <c r="H614" i="1"/>
  <c r="I614" i="1"/>
  <c r="J614" i="1"/>
  <c r="K614" i="1"/>
  <c r="G624" i="1"/>
  <c r="H627" i="1"/>
  <c r="H629" i="1"/>
  <c r="H630" i="1"/>
  <c r="H635" i="1"/>
  <c r="H636" i="1"/>
  <c r="G640" i="1"/>
  <c r="G641" i="1"/>
  <c r="G643" i="1"/>
  <c r="H643" i="1"/>
  <c r="G644" i="1"/>
  <c r="G652" i="1"/>
  <c r="H652" i="1"/>
  <c r="G653" i="1"/>
  <c r="G654" i="1"/>
  <c r="H654" i="1"/>
  <c r="F78" i="2"/>
  <c r="E78" i="2"/>
  <c r="J140" i="1"/>
  <c r="G22" i="2"/>
  <c r="H140" i="1"/>
  <c r="G36" i="2"/>
  <c r="G645" i="1" l="1"/>
  <c r="A31" i="12"/>
  <c r="D62" i="2"/>
  <c r="J641" i="1"/>
  <c r="I452" i="1"/>
  <c r="G461" i="1"/>
  <c r="H640" i="1" s="1"/>
  <c r="L433" i="1"/>
  <c r="L427" i="1"/>
  <c r="L419" i="1"/>
  <c r="I408" i="1"/>
  <c r="G408" i="1"/>
  <c r="H645" i="1" s="1"/>
  <c r="J645" i="1" s="1"/>
  <c r="J643" i="1"/>
  <c r="G81" i="2"/>
  <c r="J112" i="1"/>
  <c r="J644" i="1"/>
  <c r="J640" i="1"/>
  <c r="I460" i="1"/>
  <c r="I461" i="1" s="1"/>
  <c r="H642" i="1" s="1"/>
  <c r="I446" i="1"/>
  <c r="G642" i="1" s="1"/>
  <c r="J639" i="1"/>
  <c r="L401" i="1"/>
  <c r="C139" i="2" s="1"/>
  <c r="L393" i="1"/>
  <c r="C138" i="2" s="1"/>
  <c r="F663" i="1"/>
  <c r="G663" i="1"/>
  <c r="I605" i="1"/>
  <c r="E16" i="13"/>
  <c r="C16" i="13" s="1"/>
  <c r="H663" i="1"/>
  <c r="I663" i="1" s="1"/>
  <c r="C18" i="2"/>
  <c r="K605" i="1"/>
  <c r="G648" i="1" s="1"/>
  <c r="J651" i="1"/>
  <c r="K598" i="1"/>
  <c r="G647" i="1" s="1"/>
  <c r="G552" i="1"/>
  <c r="L534" i="1"/>
  <c r="H552" i="1"/>
  <c r="H545" i="1"/>
  <c r="I545" i="1"/>
  <c r="K551" i="1"/>
  <c r="J545" i="1"/>
  <c r="K550" i="1"/>
  <c r="J552" i="1"/>
  <c r="L544" i="1"/>
  <c r="K545" i="1"/>
  <c r="G545" i="1"/>
  <c r="F552" i="1"/>
  <c r="K549" i="1"/>
  <c r="L560" i="1"/>
  <c r="K571" i="1"/>
  <c r="J571" i="1"/>
  <c r="L570" i="1"/>
  <c r="G157" i="2"/>
  <c r="C131" i="2"/>
  <c r="G662" i="1"/>
  <c r="C17" i="10"/>
  <c r="C16" i="10"/>
  <c r="C119" i="2"/>
  <c r="D7" i="13"/>
  <c r="C7" i="13" s="1"/>
  <c r="C118" i="2"/>
  <c r="C114" i="2"/>
  <c r="L256" i="1"/>
  <c r="D18" i="13"/>
  <c r="C18" i="13" s="1"/>
  <c r="D17" i="13"/>
  <c r="C17" i="13" s="1"/>
  <c r="C13" i="10"/>
  <c r="C112" i="2"/>
  <c r="A40" i="12"/>
  <c r="H662" i="1"/>
  <c r="C21" i="10"/>
  <c r="C12" i="10"/>
  <c r="K257" i="1"/>
  <c r="F257" i="1"/>
  <c r="F271" i="1" s="1"/>
  <c r="L211" i="1"/>
  <c r="G257" i="1"/>
  <c r="G271" i="1" s="1"/>
  <c r="J257" i="1"/>
  <c r="J271" i="1" s="1"/>
  <c r="L229" i="1"/>
  <c r="C109" i="2"/>
  <c r="D5" i="13"/>
  <c r="C5" i="13" s="1"/>
  <c r="C91" i="2"/>
  <c r="C78" i="2"/>
  <c r="C70" i="2"/>
  <c r="F112" i="1"/>
  <c r="H52" i="1"/>
  <c r="H619" i="1" s="1"/>
  <c r="I112" i="1"/>
  <c r="I476" i="1"/>
  <c r="H625" i="1" s="1"/>
  <c r="C26" i="10"/>
  <c r="E142" i="2"/>
  <c r="F22" i="13"/>
  <c r="C22" i="13" s="1"/>
  <c r="E122" i="2"/>
  <c r="E125" i="2"/>
  <c r="E121" i="2"/>
  <c r="K338" i="1"/>
  <c r="K352" i="1" s="1"/>
  <c r="E110" i="2"/>
  <c r="L309" i="1"/>
  <c r="E118" i="2"/>
  <c r="L328" i="1"/>
  <c r="H338" i="1"/>
  <c r="H352" i="1" s="1"/>
  <c r="C11" i="10"/>
  <c r="F338" i="1"/>
  <c r="F352" i="1" s="1"/>
  <c r="G338" i="1"/>
  <c r="G352" i="1" s="1"/>
  <c r="C10" i="10"/>
  <c r="H192" i="1"/>
  <c r="E103" i="2"/>
  <c r="E62" i="2"/>
  <c r="H112" i="1"/>
  <c r="E63" i="2"/>
  <c r="F18" i="2"/>
  <c r="D18" i="2"/>
  <c r="D31" i="2"/>
  <c r="D63" i="2"/>
  <c r="D81" i="2"/>
  <c r="D91" i="2"/>
  <c r="G192" i="1"/>
  <c r="J634" i="1"/>
  <c r="D29" i="13"/>
  <c r="C29" i="13" s="1"/>
  <c r="L362" i="1"/>
  <c r="G635" i="1" s="1"/>
  <c r="J635" i="1" s="1"/>
  <c r="G661" i="1"/>
  <c r="L290" i="1"/>
  <c r="L539" i="1"/>
  <c r="K503" i="1"/>
  <c r="E109" i="2"/>
  <c r="E115" i="2" s="1"/>
  <c r="C62" i="2"/>
  <c r="F661" i="1"/>
  <c r="C15" i="10"/>
  <c r="G112" i="1"/>
  <c r="C81" i="2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E8" i="13"/>
  <c r="C8" i="13" s="1"/>
  <c r="L382" i="1"/>
  <c r="G636" i="1" s="1"/>
  <c r="J636" i="1" s="1"/>
  <c r="H25" i="13"/>
  <c r="E81" i="2"/>
  <c r="F81" i="2"/>
  <c r="L351" i="1"/>
  <c r="H647" i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G42" i="2"/>
  <c r="G50" i="2" s="1"/>
  <c r="G51" i="2" s="1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A22" i="12"/>
  <c r="J652" i="1"/>
  <c r="G571" i="1"/>
  <c r="I434" i="1"/>
  <c r="G434" i="1"/>
  <c r="J642" i="1" l="1"/>
  <c r="G638" i="1"/>
  <c r="J472" i="1"/>
  <c r="L408" i="1"/>
  <c r="H646" i="1" s="1"/>
  <c r="J646" i="1" s="1"/>
  <c r="J647" i="1"/>
  <c r="K552" i="1"/>
  <c r="L545" i="1"/>
  <c r="I662" i="1"/>
  <c r="F33" i="13"/>
  <c r="I247" i="1"/>
  <c r="I257" i="1" s="1"/>
  <c r="I271" i="1" s="1"/>
  <c r="L243" i="1"/>
  <c r="L266" i="1" s="1"/>
  <c r="C141" i="2" s="1"/>
  <c r="L242" i="1"/>
  <c r="L241" i="1"/>
  <c r="F660" i="1"/>
  <c r="F664" i="1" s="1"/>
  <c r="G660" i="1"/>
  <c r="G664" i="1" s="1"/>
  <c r="C115" i="2"/>
  <c r="F193" i="1"/>
  <c r="G627" i="1" s="1"/>
  <c r="J627" i="1" s="1"/>
  <c r="C63" i="2"/>
  <c r="C104" i="2" s="1"/>
  <c r="F104" i="2"/>
  <c r="I193" i="1"/>
  <c r="G630" i="1" s="1"/>
  <c r="J630" i="1" s="1"/>
  <c r="E128" i="2"/>
  <c r="E145" i="2" s="1"/>
  <c r="L338" i="1"/>
  <c r="L352" i="1" s="1"/>
  <c r="G633" i="1"/>
  <c r="H472" i="1"/>
  <c r="H648" i="1"/>
  <c r="J648" i="1" s="1"/>
  <c r="E104" i="2"/>
  <c r="C36" i="10"/>
  <c r="C27" i="10"/>
  <c r="I661" i="1"/>
  <c r="C25" i="13"/>
  <c r="H33" i="13"/>
  <c r="D31" i="13"/>
  <c r="C31" i="13" s="1"/>
  <c r="G104" i="2"/>
  <c r="G631" i="1"/>
  <c r="G193" i="1"/>
  <c r="G626" i="1"/>
  <c r="J52" i="1"/>
  <c r="H621" i="1" s="1"/>
  <c r="J621" i="1" s="1"/>
  <c r="C38" i="10"/>
  <c r="H638" i="1" l="1"/>
  <c r="J638" i="1" s="1"/>
  <c r="J474" i="1"/>
  <c r="G637" i="1"/>
  <c r="J468" i="1"/>
  <c r="H655" i="1"/>
  <c r="J655" i="1" s="1"/>
  <c r="K270" i="1"/>
  <c r="L264" i="1"/>
  <c r="C136" i="2" s="1"/>
  <c r="C144" i="2" s="1"/>
  <c r="H653" i="1"/>
  <c r="J653" i="1" s="1"/>
  <c r="D14" i="13"/>
  <c r="C14" i="13" s="1"/>
  <c r="C20" i="10"/>
  <c r="C123" i="2"/>
  <c r="H247" i="1"/>
  <c r="H257" i="1" s="1"/>
  <c r="H271" i="1" s="1"/>
  <c r="D12" i="13"/>
  <c r="C12" i="13" s="1"/>
  <c r="L247" i="1"/>
  <c r="C121" i="2"/>
  <c r="C18" i="10"/>
  <c r="C19" i="10"/>
  <c r="E13" i="13"/>
  <c r="C122" i="2"/>
  <c r="H633" i="1"/>
  <c r="H474" i="1"/>
  <c r="H476" i="1" s="1"/>
  <c r="H624" i="1" s="1"/>
  <c r="J624" i="1" s="1"/>
  <c r="J633" i="1"/>
  <c r="G628" i="1"/>
  <c r="G468" i="1"/>
  <c r="G672" i="1"/>
  <c r="C5" i="10" s="1"/>
  <c r="G667" i="1"/>
  <c r="F672" i="1"/>
  <c r="C4" i="10" s="1"/>
  <c r="F667" i="1"/>
  <c r="C41" i="10"/>
  <c r="D38" i="10" s="1"/>
  <c r="H637" i="1" l="1"/>
  <c r="J637" i="1" s="1"/>
  <c r="H631" i="1"/>
  <c r="J631" i="1" s="1"/>
  <c r="J470" i="1"/>
  <c r="J476" i="1" s="1"/>
  <c r="H626" i="1" s="1"/>
  <c r="J626" i="1" s="1"/>
  <c r="L270" i="1"/>
  <c r="K271" i="1"/>
  <c r="D33" i="13"/>
  <c r="D36" i="13" s="1"/>
  <c r="C28" i="10"/>
  <c r="D19" i="10" s="1"/>
  <c r="C13" i="13"/>
  <c r="E33" i="13"/>
  <c r="D35" i="13" s="1"/>
  <c r="H660" i="1"/>
  <c r="L257" i="1"/>
  <c r="C128" i="2"/>
  <c r="C145" i="2" s="1"/>
  <c r="H628" i="1"/>
  <c r="J628" i="1" s="1"/>
  <c r="G470" i="1"/>
  <c r="G476" i="1" s="1"/>
  <c r="D37" i="10"/>
  <c r="D36" i="10"/>
  <c r="D35" i="10"/>
  <c r="D40" i="10"/>
  <c r="D39" i="10"/>
  <c r="H623" i="1" l="1"/>
  <c r="G48" i="1"/>
  <c r="L271" i="1"/>
  <c r="G632" i="1" s="1"/>
  <c r="D13" i="10"/>
  <c r="D12" i="10"/>
  <c r="D24" i="10"/>
  <c r="D25" i="10"/>
  <c r="D10" i="10"/>
  <c r="D26" i="10"/>
  <c r="D22" i="10"/>
  <c r="C30" i="10"/>
  <c r="D18" i="10"/>
  <c r="D15" i="10"/>
  <c r="D16" i="10"/>
  <c r="D17" i="10"/>
  <c r="D27" i="10"/>
  <c r="D11" i="10"/>
  <c r="D23" i="10"/>
  <c r="D21" i="10"/>
  <c r="D20" i="10"/>
  <c r="H664" i="1"/>
  <c r="I660" i="1"/>
  <c r="I664" i="1" s="1"/>
  <c r="D41" i="10"/>
  <c r="G51" i="1" l="1"/>
  <c r="D47" i="2"/>
  <c r="D50" i="2" s="1"/>
  <c r="D51" i="2" s="1"/>
  <c r="F472" i="1"/>
  <c r="F474" i="1" s="1"/>
  <c r="F476" i="1" s="1"/>
  <c r="D28" i="10"/>
  <c r="I672" i="1"/>
  <c r="C7" i="10" s="1"/>
  <c r="I667" i="1"/>
  <c r="H672" i="1"/>
  <c r="C6" i="10" s="1"/>
  <c r="H667" i="1"/>
  <c r="G623" i="1" l="1"/>
  <c r="J623" i="1" s="1"/>
  <c r="G52" i="1"/>
  <c r="H618" i="1" s="1"/>
  <c r="J618" i="1" s="1"/>
  <c r="H622" i="1"/>
  <c r="H632" i="1"/>
  <c r="J632" i="1" s="1"/>
  <c r="F51" i="1" l="1"/>
  <c r="C49" i="2"/>
  <c r="C50" i="2" s="1"/>
  <c r="C51" i="2" s="1"/>
  <c r="G622" i="1" l="1"/>
  <c r="F52" i="1"/>
  <c r="H617" i="1" s="1"/>
  <c r="J617" i="1" s="1"/>
  <c r="J622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<sst xmlns="http://schemas.openxmlformats.org/spreadsheetml/2006/main" count="3957" uniqueCount="915">
  <si>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</si>
  <si>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</si>
  <si>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</si>
  <si>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</si>
  <si>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</si>
  <si>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</si>
  <si>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</si>
  <si>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</si>
  <si>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</si>
  <si>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</si>
  <si>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</si>
  <si>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</si>
  <si>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</si>
  <si>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</si>
  <si>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</si>
  <si>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</si>
  <si>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</si>
  <si>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</si>
  <si>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</si>
  <si>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</si>
  <si>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</si>
  <si>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</si>
  <si>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</si>
  <si>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</si>
  <si>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</si>
  <si>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</si>
  <si>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</si>
  <si>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</si>
  <si>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</si>
  <si>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</si>
  <si>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</si>
  <si>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</si>
  <si>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</si>
  <si>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</si>
  <si>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</si>
  <si>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</si>
  <si>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</si>
  <si>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</si>
  <si>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</si>
  <si>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</si>
  <si>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</si>
  <si>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</si>
  <si>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</si>
  <si>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</si>
  <si>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</si>
  <si>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</si>
  <si>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</si>
  <si>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</si>
  <si>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</si>
  <si>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</si>
  <si>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</si>
  <si>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</si>
  <si>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</si>
  <si>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</si>
  <si>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</si>
  <si>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</si>
  <si>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</si>
  <si>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</si>
  <si>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</si>
  <si>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</si>
  <si>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</si>
  <si>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</si>
  <si>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</si>
  <si>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</si>
  <si>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</si>
  <si>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</si>
  <si>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</si>
  <si>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</si>
  <si>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</si>
  <si>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</si>
  <si>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</si>
  <si>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</si>
  <si>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</si>
  <si>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</si>
  <si>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</si>
  <si>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</si>
  <si>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</si>
  <si>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</si>
  <si>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</si>
  <si>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</si>
  <si>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</si>
  <si>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</si>
  <si>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</si>
  <si>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</si>
  <si>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</si>
  <si>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</si>
  <si>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</si>
  <si>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</si>
  <si>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</si>
  <si>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</si>
  <si>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</si>
  <si>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</si>
  <si>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</si>
  <si>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</si>
  <si>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</si>
  <si>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</si>
  <si>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</si>
  <si>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</si>
  <si>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</si>
  <si>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</si>
  <si>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</si>
  <si>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</si>
  <si>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</si>
  <si>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</si>
  <si>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</si>
  <si>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</si>
  <si>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</si>
  <si>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</si>
  <si>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</si>
  <si>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</si>
  <si>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</si>
  <si>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</si>
  <si>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</si>
  <si>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</si>
  <si>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</si>
  <si>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</si>
  <si>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</si>
  <si>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</si>
  <si>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</si>
  <si>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</si>
  <si>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</si>
  <si>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</si>
  <si>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</si>
  <si>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</si>
  <si>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</si>
  <si>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</si>
  <si>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</si>
  <si>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</si>
  <si>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</si>
  <si>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</si>
  <si>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</si>
  <si>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</si>
  <si>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</si>
  <si>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</si>
  <si>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</si>
  <si>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</si>
  <si>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</si>
  <si>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</si>
  <si>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</si>
  <si>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</si>
  <si>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</si>
  <si>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</si>
  <si>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</si>
  <si>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</si>
  <si>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</si>
  <si>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</si>
  <si>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</si>
  <si>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</si>
  <si>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</si>
  <si>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</si>
  <si>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</si>
  <si>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</si>
  <si>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</si>
  <si>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</si>
  <si>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</si>
  <si>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</si>
  <si>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</si>
  <si>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</si>
  <si>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</si>
  <si>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</si>
  <si>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</si>
  <si>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</si>
  <si>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</si>
  <si>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</si>
  <si>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</si>
  <si>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</si>
  <si>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</si>
  <si>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</si>
  <si>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</si>
  <si>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</si>
  <si>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</si>
  <si>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</si>
  <si>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</si>
  <si>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</si>
  <si>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</si>
  <si>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</si>
  <si>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</si>
  <si>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</si>
  <si>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</si>
  <si>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</si>
  <si>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</si>
  <si>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</si>
  <si>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</si>
  <si>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</si>
  <si>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</si>
  <si>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</si>
  <si>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</si>
  <si>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</si>
  <si>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</si>
  <si>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</si>
  <si>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</si>
  <si>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</si>
  <si>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</si>
  <si>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</si>
  <si>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</si>
  <si>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</si>
  <si>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</si>
  <si>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</si>
  <si>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</si>
  <si>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</si>
  <si>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</si>
  <si>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</si>
  <si>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</si>
  <si>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</si>
  <si>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</si>
  <si>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</si>
  <si>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</si>
  <si>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</si>
  <si>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</si>
  <si>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</si>
  <si>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</si>
  <si>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</si>
  <si>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</si>
  <si>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</si>
  <si>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</si>
  <si>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</si>
  <si>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</si>
  <si>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</si>
  <si>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</si>
  <si>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</si>
  <si>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</si>
  <si>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</si>
  <si>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</si>
  <si>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</si>
  <si>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</si>
  <si>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</si>
  <si>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</si>
  <si>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</si>
  <si>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</si>
  <si>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</si>
  <si>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</si>
  <si>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</si>
  <si>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</si>
  <si>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</si>
  <si>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</si>
  <si>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</si>
  <si>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</si>
  <si>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</si>
  <si>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</si>
  <si>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</si>
  <si>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</si>
  <si>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</si>
  <si>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</si>
  <si>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</si>
  <si>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</si>
  <si>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</si>
  <si>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</si>
  <si>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</si>
  <si>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</si>
  <si>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</si>
  <si>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</si>
  <si>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</si>
  <si>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</si>
  <si>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</si>
  <si>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</si>
  <si>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</si>
  <si>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</si>
  <si>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</si>
  <si>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</si>
  <si>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</si>
  <si>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</si>
  <si>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</si>
  <si>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</si>
  <si>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</si>
  <si>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</si>
  <si>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</si>
  <si>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</si>
  <si>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</si>
  <si>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</si>
  <si>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</si>
  <si>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</si>
  <si>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</si>
  <si>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</si>
  <si>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</si>
  <si>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</si>
  <si>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</si>
  <si>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</si>
  <si>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</si>
  <si>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</si>
  <si>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</si>
  <si>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</si>
  <si>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</si>
  <si>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</si>
  <si>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</si>
  <si>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</si>
  <si>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</si>
  <si>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</si>
  <si>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</si>
  <si>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</si>
  <si>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</si>
  <si>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</si>
  <si>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</si>
  <si>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</si>
  <si>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</si>
  <si>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</si>
  <si>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</si>
  <si>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</si>
  <si>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</si>
  <si>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</si>
  <si>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</si>
  <si>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</si>
  <si>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</si>
  <si>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</si>
  <si>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</si>
  <si>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</si>
  <si>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</si>
  <si>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</si>
  <si>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</si>
  <si>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</si>
  <si>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</si>
  <si>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</si>
  <si>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</si>
  <si>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</si>
  <si>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</si>
  <si>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</si>
  <si>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</si>
  <si>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</si>
  <si>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</si>
  <si>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</si>
  <si>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</si>
  <si>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</si>
  <si>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</si>
  <si>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</si>
  <si>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</si>
  <si>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</si>
  <si>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</si>
  <si>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</si>
  <si>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</si>
  <si>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</si>
  <si>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</si>
  <si>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</si>
  <si>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</si>
  <si>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</si>
  <si>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</si>
  <si>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</si>
  <si>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</si>
  <si>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</si>
  <si>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</si>
  <si>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</si>
  <si>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</si>
  <si>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</si>
  <si>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</si>
  <si>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</si>
  <si>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</si>
  <si>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</si>
  <si>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</si>
  <si>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</si>
  <si>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</si>
  <si>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</si>
  <si>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</si>
  <si>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</si>
  <si>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</si>
  <si>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</si>
  <si>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</si>
  <si>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</si>
  <si>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</si>
  <si>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</si>
  <si>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</si>
  <si>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</si>
  <si>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</si>
  <si>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</si>
  <si>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</si>
  <si>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</si>
  <si>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</si>
  <si>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</si>
  <si>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</si>
  <si>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</si>
  <si>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</si>
  <si>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</si>
  <si>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</si>
  <si>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</si>
  <si>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</si>
  <si>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</si>
  <si>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</si>
  <si>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</si>
  <si>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</si>
  <si>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</si>
  <si>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</si>
  <si>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</si>
  <si>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</si>
  <si>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</si>
  <si>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</si>
  <si>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</si>
  <si>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</si>
  <si>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</si>
  <si>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</si>
  <si>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</si>
  <si>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</si>
  <si>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</si>
  <si>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</si>
  <si>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</si>
  <si>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</si>
  <si>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</si>
  <si>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</si>
  <si>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</si>
  <si>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</si>
  <si>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</si>
  <si>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</si>
  <si>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</si>
  <si>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</si>
  <si>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</si>
  <si>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</si>
  <si>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</si>
  <si>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</si>
  <si>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</si>
  <si>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</si>
  <si>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</si>
  <si>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</si>
  <si>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</si>
  <si>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</si>
  <si>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</si>
  <si>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</si>
  <si>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</si>
  <si>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</si>
  <si>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</si>
  <si>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</si>
  <si>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</si>
  <si>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</si>
  <si>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</si>
  <si>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</si>
  <si>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</si>
  <si>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</si>
  <si>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</si>
  <si>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</si>
  <si>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</si>
  <si>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</si>
  <si>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</si>
  <si>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</si>
  <si>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</si>
  <si>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</si>
  <si>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</si>
  <si>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</si>
  <si>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</si>
  <si>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</si>
  <si>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</si>
  <si>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</si>
  <si>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</si>
  <si>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</si>
  <si>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</si>
  <si>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</si>
  <si>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</si>
  <si>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</si>
  <si>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</si>
  <si>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</si>
  <si>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</si>
  <si>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</si>
  <si>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</si>
  <si>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</si>
  <si>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</si>
  <si>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</si>
  <si>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</si>
  <si>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</si>
  <si>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</si>
  <si>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</si>
  <si>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</si>
  <si>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</si>
  <si>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</si>
  <si>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</si>
  <si>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</si>
  <si>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</si>
  <si>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</si>
  <si>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</si>
  <si>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</si>
  <si>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</si>
  <si>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</si>
  <si>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</si>
  <si>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</si>
  <si>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</si>
  <si>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</si>
  <si>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</si>
  <si>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</si>
  <si>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</si>
  <si>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</si>
  <si>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</si>
  <si>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</si>
  <si>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</si>
  <si>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</si>
  <si>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</si>
  <si>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</si>
  <si>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</si>
  <si>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</si>
  <si>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</si>
  <si>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</si>
  <si>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</si>
  <si>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</si>
  <si>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</si>
  <si>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</si>
  <si>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</si>
  <si>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</si>
  <si>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</si>
  <si>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</si>
  <si>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</si>
  <si>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</si>
  <si>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</si>
  <si>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</si>
  <si>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</si>
  <si>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</si>
  <si>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</si>
  <si>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</si>
  <si>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</si>
  <si>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</si>
  <si>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</si>
  <si>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</si>
  <si>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</si>
  <si>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</si>
  <si>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</si>
  <si>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</si>
  <si>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</si>
  <si>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</si>
  <si>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</si>
  <si>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</si>
  <si>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</si>
  <si>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</si>
  <si>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</si>
  <si>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</si>
  <si>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</si>
  <si>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</si>
  <si>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</si>
  <si>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</si>
  <si>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</si>
  <si>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</si>
  <si>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</si>
  <si>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</si>
  <si>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</si>
  <si>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</si>
  <si>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</si>
  <si>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</si>
  <si>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</si>
  <si>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</si>
  <si>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</si>
  <si>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</si>
  <si>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</si>
  <si>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</si>
  <si>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</si>
  <si>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</si>
  <si>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</si>
  <si>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</si>
  <si>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</si>
  <si>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</si>
  <si>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</si>
  <si>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</si>
  <si>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</si>
  <si>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</si>
  <si>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</si>
  <si>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</si>
  <si>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</si>
  <si>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</si>
  <si>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</si>
  <si>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</si>
  <si>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</si>
  <si>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</si>
  <si>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</si>
  <si>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</si>
  <si>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</si>
  <si>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</si>
  <si>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</si>
  <si>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</si>
  <si>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</si>
  <si>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</si>
  <si>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</si>
  <si>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</si>
  <si>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</si>
  <si>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</si>
  <si>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</si>
  <si>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</si>
  <si>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</si>
  <si>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</si>
  <si>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</si>
  <si>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</si>
  <si>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</si>
  <si>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</si>
  <si>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</si>
  <si>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</si>
  <si>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</si>
  <si>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</si>
  <si>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</si>
  <si>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</si>
  <si>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</si>
  <si>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</si>
  <si>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</si>
  <si>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</si>
  <si>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</si>
  <si>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</si>
  <si>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</si>
  <si>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</si>
  <si>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</si>
  <si>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</si>
  <si>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</si>
  <si>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</si>
  <si>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</si>
  <si>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</si>
  <si>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</si>
  <si>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</si>
  <si>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</si>
  <si>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</si>
  <si>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</si>
  <si>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</si>
  <si>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</si>
  <si>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</si>
  <si>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</si>
  <si>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</si>
  <si>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</si>
  <si>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</si>
  <si>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</si>
  <si>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</si>
  <si>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</si>
  <si>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</si>
  <si>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</si>
  <si>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</si>
  <si>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</si>
  <si>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</si>
  <si>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</si>
  <si>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</si>
  <si>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</si>
  <si>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</si>
  <si>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</si>
  <si>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</si>
  <si>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</si>
  <si>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</si>
  <si>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</si>
  <si>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</si>
  <si>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</si>
  <si>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</si>
  <si>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</si>
  <si>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</si>
  <si>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</si>
  <si>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</si>
  <si>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</si>
  <si>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</si>
  <si>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</si>
  <si>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</si>
  <si>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</si>
  <si>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</si>
  <si>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</si>
  <si>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</si>
  <si>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</si>
  <si>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</si>
  <si>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</si>
  <si>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</si>
  <si>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</si>
  <si>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</si>
  <si>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</si>
  <si>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</si>
  <si>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</si>
  <si>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</si>
  <si>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</si>
  <si>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</si>
  <si>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</si>
  <si>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</si>
  <si>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</si>
  <si>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</si>
  <si>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</si>
  <si>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</si>
  <si>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</si>
  <si>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</si>
  <si>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</si>
  <si>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</si>
  <si>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</si>
  <si>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</si>
  <si>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</si>
  <si>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</si>
  <si>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</si>
  <si>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</si>
  <si>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</si>
  <si>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</si>
  <si>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</si>
  <si>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</si>
  <si>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</si>
  <si>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</si>
  <si>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</si>
  <si>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</si>
  <si>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</si>
  <si>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</si>
  <si>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</si>
  <si>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</si>
  <si>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</si>
  <si>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</si>
  <si>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</si>
  <si>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</si>
  <si>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</si>
  <si>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</si>
  <si>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</si>
  <si>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</si>
  <si>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</si>
  <si>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</si>
  <si>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</si>
  <si>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</si>
  <si>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</si>
  <si>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</si>
  <si>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</si>
  <si>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</si>
  <si>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</si>
  <si>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</si>
  <si>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</si>
  <si>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</si>
  <si>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</si>
  <si>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</si>
  <si>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</si>
  <si>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</si>
  <si>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</si>
  <si>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</si>
  <si>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</si>
  <si>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</si>
  <si>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</si>
  <si>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</si>
  <si>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</si>
  <si>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</si>
  <si>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</si>
  <si>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</si>
  <si>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</si>
  <si>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</si>
  <si>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</si>
  <si>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</si>
  <si>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</si>
  <si>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</si>
  <si>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</si>
  <si>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</si>
  <si>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</si>
  <si>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</si>
  <si>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</si>
  <si>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</si>
  <si>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</si>
  <si>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</si>
  <si>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</si>
  <si>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</si>
  <si>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</si>
  <si>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</si>
  <si>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</si>
  <si>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</si>
  <si>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</si>
  <si>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</si>
  <si>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</si>
  <si>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</si>
  <si>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</si>
  <si>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</si>
  <si>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</si>
  <si>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</si>
  <si>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</si>
  <si>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</si>
  <si>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</si>
  <si>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</si>
  <si>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</si>
  <si>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</si>
  <si>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</si>
  <si>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</si>
  <si>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</si>
  <si>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</si>
  <si>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</si>
  <si>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</si>
  <si>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</si>
  <si>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</si>
  <si>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</si>
  <si>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</si>
  <si>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</si>
  <si>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</si>
  <si>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</si>
  <si>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</si>
  <si>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</si>
  <si>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</si>
  <si>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</si>
  <si>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</si>
  <si>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</si>
  <si>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</si>
  <si>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</si>
  <si>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</si>
  <si>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</si>
  <si>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</si>
  <si>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</si>
  <si>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</si>
  <si>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</si>
  <si>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</si>
  <si>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</si>
  <si>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</si>
  <si>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</si>
  <si>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</si>
  <si>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</si>
  <si>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</si>
  <si>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</si>
  <si>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</si>
  <si>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</si>
  <si>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</si>
  <si>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</si>
  <si>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</si>
  <si>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</si>
  <si>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</si>
  <si>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</si>
  <si>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</si>
  <si>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</si>
  <si>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</si>
  <si>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</si>
  <si>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</si>
  <si>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</si>
  <si>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</si>
  <si>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</si>
  <si>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</si>
  <si>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</si>
  <si>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</si>
  <si>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</si>
  <si>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</si>
  <si>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</si>
  <si>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</si>
  <si>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</si>
  <si>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</si>
  <si>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</si>
  <si>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</si>
  <si>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</si>
  <si>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</si>
  <si>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</si>
  <si>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</si>
  <si>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</si>
  <si>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</si>
  <si>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</si>
  <si>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</si>
  <si>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</si>
  <si>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</si>
  <si>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</si>
  <si>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</si>
  <si>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</si>
  <si>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</si>
  <si>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</si>
  <si>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</si>
  <si>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</si>
  <si>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</si>
  <si>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</si>
  <si>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</si>
  <si>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</si>
  <si>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</si>
  <si>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</si>
  <si>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</si>
  <si>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</si>
  <si>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</si>
  <si>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</si>
  <si>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</si>
  <si>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</si>
  <si>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</si>
  <si>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</si>
  <si>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</si>
  <si>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</si>
  <si>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</si>
  <si>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</si>
  <si>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</si>
  <si>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</si>
  <si>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</si>
  <si>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</si>
  <si>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</si>
  <si>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</si>
  <si>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</si>
  <si>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</si>
  <si>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</si>
  <si>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</si>
  <si>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</si>
  <si>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</si>
  <si>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</si>
  <si>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</si>
  <si>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</si>
  <si>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</si>
  <si>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</si>
  <si>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</si>
  <si>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</si>
  <si>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</si>
  <si>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</si>
  <si>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</si>
  <si>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</si>
  <si>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</si>
  <si>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</si>
  <si>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</si>
  <si>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</si>
  <si>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</si>
  <si>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</si>
  <si>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</si>
  <si>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</si>
  <si>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</si>
  <si>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</si>
  <si>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</si>
  <si>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</si>
  <si>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</si>
  <si>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</si>
  <si>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</si>
  <si>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</si>
  <si>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</si>
  <si>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</si>
  <si>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</si>
  <si>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</si>
  <si>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</si>
  <si>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</si>
  <si>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</si>
  <si>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</si>
  <si>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</si>
  <si>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</si>
  <si>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</si>
  <si>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</si>
  <si>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</si>
  <si>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</si>
  <si>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</si>
  <si>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</si>
  <si>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</si>
  <si>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</si>
  <si>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</si>
  <si>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</si>
  <si>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</si>
  <si>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</si>
  <si>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</si>
  <si>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</si>
  <si>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</si>
  <si>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</si>
  <si>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</si>
  <si>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</si>
  <si>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</si>
  <si>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</si>
  <si>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</si>
  <si>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</si>
  <si>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</si>
  <si>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BOW SCHOOL DISTRICT</t>
  </si>
  <si>
    <t>7/1/2006</t>
  </si>
  <si>
    <t>7/1/2026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</si>
</sst>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583" activePane="bottomRight" state="frozen"/>
      <selection pane="topRight" activeCell="F1" sqref="F1"/>
      <selection pane="bottomLeft" activeCell="A4" sqref="A4"/>
      <selection pane="bottomRight" activeCell="G389" sqref="G389:G39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57</v>
      </c>
      <c r="C2" s="21">
        <v>57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2265608.75</v>
      </c>
      <c r="G9" s="18">
        <v>0</v>
      </c>
      <c r="H9" s="18">
        <v>0</v>
      </c>
      <c r="I9" s="18">
        <v>0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1564058.84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346800</v>
      </c>
      <c r="G12" s="18">
        <f>206573.3-7042.14</f>
        <v>199531.15999999997</v>
      </c>
      <c r="H12" s="18">
        <v>0</v>
      </c>
      <c r="I12" s="18">
        <v>0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0</v>
      </c>
      <c r="G13" s="18">
        <v>0</v>
      </c>
      <c r="H13" s="18">
        <v>58624.39</v>
      </c>
      <c r="I13" s="18">
        <v>0</v>
      </c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72584.28</v>
      </c>
      <c r="G14" s="18">
        <v>7042.14</v>
      </c>
      <c r="H14" s="18">
        <v>0</v>
      </c>
      <c r="I14" s="18">
        <v>0</v>
      </c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>
        <v>0</v>
      </c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59117.5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2744110.53</v>
      </c>
      <c r="G19" s="41">
        <f>SUM(G9:G18)</f>
        <v>206573.3</v>
      </c>
      <c r="H19" s="41">
        <f>SUM(H9:H18)</f>
        <v>58624.39</v>
      </c>
      <c r="I19" s="41">
        <f>SUM(I9:I18)</f>
        <v>0</v>
      </c>
      <c r="J19" s="41">
        <f>SUM(J9:J18)</f>
        <v>1564058.84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108717.8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f>58624.39-9848.16</f>
        <v>48776.229999999996</v>
      </c>
      <c r="I23" s="18">
        <v>0</v>
      </c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1213433.31</v>
      </c>
      <c r="G24" s="18">
        <v>8629</v>
      </c>
      <c r="H24" s="18">
        <v>9848.16</v>
      </c>
      <c r="I24" s="18">
        <v>0</v>
      </c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414429.91</v>
      </c>
      <c r="G25" s="145">
        <v>7931.46</v>
      </c>
      <c r="H25" s="18">
        <v>0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30067.07+46259.91+3947.25+23930+166.87+5065.54+5117.12-267.07</f>
        <v>114286.68999999999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18247.939999999999</v>
      </c>
      <c r="H30" s="18">
        <v>0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1850867.71</v>
      </c>
      <c r="G32" s="41">
        <f>SUM(G22:G31)</f>
        <v>34808.399999999994</v>
      </c>
      <c r="H32" s="41">
        <f>SUM(H22:H31)</f>
        <v>58624.39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0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>
        <v>0</v>
      </c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346800</v>
      </c>
      <c r="G44" s="18">
        <v>0</v>
      </c>
      <c r="H44" s="18">
        <v>0</v>
      </c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f>G476</f>
        <v>171764.89999999991</v>
      </c>
      <c r="H48" s="18">
        <v>0</v>
      </c>
      <c r="I48" s="18">
        <v>0</v>
      </c>
      <c r="J48" s="13">
        <f>SUM(I459)</f>
        <v>1564058.84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546442.81999999995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893242.82</v>
      </c>
      <c r="G51" s="41">
        <f>SUM(G35:G50)</f>
        <v>171764.89999999991</v>
      </c>
      <c r="H51" s="41">
        <f>SUM(H35:H50)</f>
        <v>0</v>
      </c>
      <c r="I51" s="41">
        <f>SUM(I35:I50)</f>
        <v>0</v>
      </c>
      <c r="J51" s="41">
        <f>SUM(J35:J50)</f>
        <v>1564058.84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2744110.53</v>
      </c>
      <c r="G52" s="41">
        <f>G51+G32</f>
        <v>206573.2999999999</v>
      </c>
      <c r="H52" s="41">
        <f>H51+H32</f>
        <v>58624.39</v>
      </c>
      <c r="I52" s="41">
        <f>I51+I32</f>
        <v>0</v>
      </c>
      <c r="J52" s="41">
        <f>J51+J32</f>
        <v>1564058.84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17461017</v>
      </c>
      <c r="G57" s="18">
        <v>0</v>
      </c>
      <c r="H57" s="18">
        <v>0</v>
      </c>
      <c r="I57" s="18">
        <v>0</v>
      </c>
      <c r="J57" s="18">
        <v>0</v>
      </c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17461017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255677-211134+39797.29-28815.29</f>
        <v>55525.000000000007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3645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f>6567+99000+6567+88000+11000+637183.75+1317461.41</f>
        <v>2165779.16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f>4116.47+4116.47+8232.94+12349.41</f>
        <v>28815.29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0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2253764.4500000002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>
        <v>0</v>
      </c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0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4458.08</v>
      </c>
      <c r="G96" s="18">
        <v>0</v>
      </c>
      <c r="H96" s="18">
        <v>0</v>
      </c>
      <c r="I96" s="18">
        <v>0</v>
      </c>
      <c r="J96" s="18">
        <v>27773.55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125811.56+169237.1+309511.61+1785.47</f>
        <v>606345.74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28033.5</v>
      </c>
      <c r="G98" s="24" t="s">
        <v>288</v>
      </c>
      <c r="H98" s="18">
        <v>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2975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505.2+140219.37+321267.8</f>
        <v>461992.37</v>
      </c>
      <c r="G110" s="18">
        <v>0</v>
      </c>
      <c r="H110" s="18">
        <v>0</v>
      </c>
      <c r="I110" s="18">
        <v>0</v>
      </c>
      <c r="J110" s="18">
        <v>0</v>
      </c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497458.95</v>
      </c>
      <c r="G111" s="41">
        <f>SUM(G96:G110)</f>
        <v>606345.74</v>
      </c>
      <c r="H111" s="41">
        <f>SUM(H96:H110)</f>
        <v>0</v>
      </c>
      <c r="I111" s="41">
        <f>SUM(I96:I110)</f>
        <v>0</v>
      </c>
      <c r="J111" s="41">
        <f>SUM(J96:J110)</f>
        <v>27773.55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20212240.399999999</v>
      </c>
      <c r="G112" s="41">
        <f>G60+G111</f>
        <v>606345.74</v>
      </c>
      <c r="H112" s="41">
        <f>H60+H79+H94+H111</f>
        <v>0</v>
      </c>
      <c r="I112" s="41">
        <f>I60+I111</f>
        <v>0</v>
      </c>
      <c r="J112" s="41">
        <f>J60+J111</f>
        <v>27773.55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f>3373367.17-5747.58</f>
        <v>3367619.59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2187298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5747.58</v>
      </c>
      <c r="G120" s="18">
        <v>0</v>
      </c>
      <c r="H120" s="18">
        <v>0</v>
      </c>
      <c r="I120" s="18">
        <v>0</v>
      </c>
      <c r="J120" s="18">
        <v>0</v>
      </c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5560665.1699999999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323549.28999999998</v>
      </c>
      <c r="G123" s="24" t="s">
        <v>288</v>
      </c>
      <c r="H123" s="24" t="s">
        <v>288</v>
      </c>
      <c r="I123" s="18">
        <v>0</v>
      </c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139275.18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0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6790.8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6412.7+23781.27</f>
        <v>30193.97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469615.26999999996</v>
      </c>
      <c r="G136" s="41">
        <f>SUM(G123:G135)</f>
        <v>30193.97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6030280.4399999995</v>
      </c>
      <c r="G140" s="41">
        <f>G121+SUM(G136:G137)</f>
        <v>30193.97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0</v>
      </c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30691.01+71891.47</f>
        <v>102582.48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31166.96+1138.5+5871.58</f>
        <v>38177.040000000001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v>0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82714.259999999995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254599.58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319200.71000000002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319200.71000000002</v>
      </c>
      <c r="G162" s="41">
        <f>SUM(G150:G161)</f>
        <v>82714.259999999995</v>
      </c>
      <c r="H162" s="41">
        <f>SUM(H150:H161)</f>
        <v>395359.1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319200.71000000002</v>
      </c>
      <c r="G169" s="41">
        <f>G147+G162+SUM(G163:G168)</f>
        <v>82714.259999999995</v>
      </c>
      <c r="H169" s="41">
        <f>H147+H162+SUM(H163:H168)</f>
        <v>395359.1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0</v>
      </c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0</v>
      </c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0</v>
      </c>
      <c r="H179" s="18">
        <v>0</v>
      </c>
      <c r="I179" s="18">
        <v>0</v>
      </c>
      <c r="J179" s="18">
        <v>68430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>
        <v>0</v>
      </c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>
        <v>0</v>
      </c>
      <c r="J181" s="18">
        <v>0</v>
      </c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>
        <v>0</v>
      </c>
      <c r="I182" s="24" t="s">
        <v>288</v>
      </c>
      <c r="J182" s="18">
        <v>0</v>
      </c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68430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36153.51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36153.51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36153.51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68430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26597875.059999999</v>
      </c>
      <c r="G193" s="47">
        <f>G112+G140+G169+G192</f>
        <v>719253.97</v>
      </c>
      <c r="H193" s="47">
        <f>H112+H140+H169+H192</f>
        <v>395359.1</v>
      </c>
      <c r="I193" s="47">
        <f>I112+I140+I169+I192</f>
        <v>0</v>
      </c>
      <c r="J193" s="47">
        <f>J112+J140+J192</f>
        <v>96203.55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1937538.61+33799.19</f>
        <v>1971337.8</v>
      </c>
      <c r="G197" s="18">
        <f>18810.54+915114.31</f>
        <v>933924.85000000009</v>
      </c>
      <c r="H197" s="18">
        <f>22211.17+3489.15</f>
        <v>25700.32</v>
      </c>
      <c r="I197" s="18">
        <f>2432.48+698.69+1040.24+7997.55+178.61+500+2936.49+1787.51+752.81+23933.64+321.13+21663.7+7568.21</f>
        <v>71811.060000000012</v>
      </c>
      <c r="J197" s="18">
        <f>585.79+200+15874.92+2000</f>
        <v>18660.71</v>
      </c>
      <c r="K197" s="18">
        <v>0</v>
      </c>
      <c r="L197" s="19">
        <f>SUM(F197:K197)</f>
        <v>3021434.74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342666.32+452916.97+8054.27+37799.65+70070.94</f>
        <v>911508.15000000014</v>
      </c>
      <c r="G198" s="18">
        <f>377988.8+20161.14</f>
        <v>398149.94</v>
      </c>
      <c r="H198" s="18">
        <f>500+1908.13+123722.41+97590.86+1065.3+8926.25</f>
        <v>233712.95</v>
      </c>
      <c r="I198" s="18">
        <f>582.44+1853.66+344.58+1794.5+1980.76</f>
        <v>6555.9400000000005</v>
      </c>
      <c r="J198" s="18">
        <f>1214.64+1082.97+458.34</f>
        <v>2755.9500000000003</v>
      </c>
      <c r="K198" s="18">
        <f>207.53</f>
        <v>207.53</v>
      </c>
      <c r="L198" s="19">
        <f>SUM(F198:K198)</f>
        <v>1552890.46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f>7460</f>
        <v>7460</v>
      </c>
      <c r="G200" s="18">
        <f>1747.12</f>
        <v>1747.12</v>
      </c>
      <c r="H200" s="18">
        <v>0</v>
      </c>
      <c r="I200" s="18">
        <f>108.15</f>
        <v>108.15</v>
      </c>
      <c r="J200" s="18">
        <v>0</v>
      </c>
      <c r="K200" s="18">
        <f>1035</f>
        <v>1035</v>
      </c>
      <c r="L200" s="19">
        <f>SUM(F200:K200)</f>
        <v>10350.269999999999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69201.76+42872.06+22134.63+76812.84+200156.86+97742.71+125726.39</f>
        <v>634647.25</v>
      </c>
      <c r="G202" s="18">
        <f>7009.52+30587.57+25863.12+31722.53+127369.86+61532.37</f>
        <v>284084.96999999997</v>
      </c>
      <c r="H202" s="18">
        <f>8333.33+1460.3+775.93+10345.44+42378.15+280.81</f>
        <v>63573.96</v>
      </c>
      <c r="I202" s="18">
        <f>442.2+1798.41+155.04+1949.55+1552.67</f>
        <v>5897.87</v>
      </c>
      <c r="J202" s="18">
        <f>349.65+711.13+2915.47</f>
        <v>3976.25</v>
      </c>
      <c r="K202" s="18">
        <v>0</v>
      </c>
      <c r="L202" s="19">
        <f t="shared" ref="L202:L208" si="0">SUM(F202:K202)</f>
        <v>992180.29999999993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2500+75469.94+36816.32</f>
        <v>114786.26000000001</v>
      </c>
      <c r="G203" s="18">
        <f>588.67+35724.23+15106.77</f>
        <v>51419.67</v>
      </c>
      <c r="H203" s="18">
        <f>275+2987.79+3062.67+2140.97+745+1438.28+9840.29+14300.09</f>
        <v>34790.089999999997</v>
      </c>
      <c r="I203" s="18">
        <f>410+9168.65+5305.59+300</f>
        <v>15184.24</v>
      </c>
      <c r="J203" s="18">
        <f>169.26+74640.99</f>
        <v>74810.25</v>
      </c>
      <c r="K203" s="18">
        <v>0</v>
      </c>
      <c r="L203" s="19">
        <f t="shared" si="0"/>
        <v>290990.51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5059.5+66.67+400-0.01</f>
        <v>5526.16</v>
      </c>
      <c r="G204" s="18">
        <f>318.75+30.6</f>
        <v>349.35</v>
      </c>
      <c r="H204" s="18">
        <f>5347.34+5592.77+4026.67+242505.67</f>
        <v>257472.45</v>
      </c>
      <c r="I204" s="18">
        <f>2138.29</f>
        <v>2138.29</v>
      </c>
      <c r="J204" s="18">
        <v>0</v>
      </c>
      <c r="K204" s="18">
        <f>17096.84+1824.83</f>
        <v>18921.669999999998</v>
      </c>
      <c r="L204" s="19">
        <f t="shared" si="0"/>
        <v>284407.92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98800+85517.06+100714.28</f>
        <v>285031.33999999997</v>
      </c>
      <c r="G205" s="18">
        <f>3000+121278.82</f>
        <v>124278.82</v>
      </c>
      <c r="H205" s="18">
        <f>337.83+3955.53+1951.44+544.96</f>
        <v>6789.7600000000011</v>
      </c>
      <c r="I205" s="18">
        <f>503.61</f>
        <v>503.61</v>
      </c>
      <c r="J205" s="18">
        <f>342.98</f>
        <v>342.98</v>
      </c>
      <c r="K205" s="18">
        <f>1827</f>
        <v>1827</v>
      </c>
      <c r="L205" s="19">
        <f t="shared" si="0"/>
        <v>418773.50999999995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117617.75+1604.33+18778.99</f>
        <v>138001.07</v>
      </c>
      <c r="G207" s="18">
        <f>70982.03+13513.48</f>
        <v>84495.51</v>
      </c>
      <c r="H207" s="18">
        <f>43+12235.68+5862.6+2030.18+7761.29+894.34+1065.4+7377.49+13298.76+8358+288.2+15552.87</f>
        <v>74767.81</v>
      </c>
      <c r="I207" s="18">
        <f>12971.36+24657.3+79921.56+542.03+273.89</f>
        <v>118366.14</v>
      </c>
      <c r="J207" s="18">
        <v>0</v>
      </c>
      <c r="K207" s="18">
        <v>0</v>
      </c>
      <c r="L207" s="19">
        <f t="shared" si="0"/>
        <v>415630.53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f>117965.93+20593+742.95+26059.8</f>
        <v>165361.68</v>
      </c>
      <c r="G208" s="18">
        <f>30323.69+2265.78+110.41+17284.91</f>
        <v>49984.789999999994</v>
      </c>
      <c r="H208" s="18">
        <f>780.78+58525.79+30710.26</f>
        <v>90016.83</v>
      </c>
      <c r="I208" s="18">
        <f>2067.67+38440.57</f>
        <v>40508.239999999998</v>
      </c>
      <c r="J208" s="18">
        <f>3418.67+43547.35</f>
        <v>46966.02</v>
      </c>
      <c r="K208" s="18">
        <f>3133.57</f>
        <v>3133.57</v>
      </c>
      <c r="L208" s="19">
        <f t="shared" si="0"/>
        <v>395971.13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4233659.71</v>
      </c>
      <c r="G211" s="41">
        <f t="shared" si="1"/>
        <v>1928435.0200000003</v>
      </c>
      <c r="H211" s="41">
        <f t="shared" si="1"/>
        <v>786824.17</v>
      </c>
      <c r="I211" s="41">
        <f t="shared" si="1"/>
        <v>261073.53999999998</v>
      </c>
      <c r="J211" s="41">
        <f t="shared" si="1"/>
        <v>147512.16</v>
      </c>
      <c r="K211" s="41">
        <f t="shared" si="1"/>
        <v>25124.769999999997</v>
      </c>
      <c r="L211" s="41">
        <f t="shared" si="1"/>
        <v>7382629.3699999992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2335911.36+16929.84+36442.81</f>
        <v>2389284.0099999998</v>
      </c>
      <c r="G215" s="18">
        <f>18810.54+1108004.92</f>
        <v>1126815.46</v>
      </c>
      <c r="H215" s="18">
        <f>137+24321.55+8568.4</f>
        <v>33026.949999999997</v>
      </c>
      <c r="I215" s="18">
        <f>4032.73+160.92+737.74+2034.84+1202.2+109.33+104.96+1294.43+4637.06+6128.73+2007.12+684.3+506.35+3037.73+10412.29+1741.67+16202.27+7218.31+815.36+2896.66+1937.89</f>
        <v>67902.89</v>
      </c>
      <c r="J215" s="18">
        <f>1924.65+15127.54+8898.28+2477.59</f>
        <v>28428.06</v>
      </c>
      <c r="K215" s="18">
        <f>1322</f>
        <v>1322</v>
      </c>
      <c r="L215" s="19">
        <f>SUM(F215:K215)</f>
        <v>3646779.37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377031.34+361027.6+8684.24+40756.18+89074.1</f>
        <v>876573.46</v>
      </c>
      <c r="G216" s="18">
        <f>353758.95+25628.82</f>
        <v>379387.77</v>
      </c>
      <c r="H216" s="18">
        <f>2057.37+133399.44+169598.73+1148.63+8926.25</f>
        <v>315130.42000000004</v>
      </c>
      <c r="I216" s="18">
        <f>627.99+3504.05+679.81+434+776.4+390.16</f>
        <v>6412.41</v>
      </c>
      <c r="J216" s="18">
        <f>455+1309.65+2956.24+318</f>
        <v>5038.8899999999994</v>
      </c>
      <c r="K216" s="18">
        <f>223.76</f>
        <v>223.76</v>
      </c>
      <c r="L216" s="19">
        <f>SUM(F216:K216)</f>
        <v>1582766.7099999997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29583+22867.01</f>
        <v>52450.009999999995</v>
      </c>
      <c r="G218" s="18">
        <f>6928.29+7307.57</f>
        <v>14235.86</v>
      </c>
      <c r="H218" s="18">
        <f>6985</f>
        <v>6985</v>
      </c>
      <c r="I218" s="18">
        <f>1487.72</f>
        <v>1487.72</v>
      </c>
      <c r="J218" s="18">
        <f>1691.95+3176.2</f>
        <v>4868.1499999999996</v>
      </c>
      <c r="K218" s="18">
        <f>3202.3+5374+470</f>
        <v>9046.2999999999993</v>
      </c>
      <c r="L218" s="19">
        <f>SUM(F218:K218)</f>
        <v>89073.04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118970.02+62682.1+9920.56+38199.72+39306.57+13148.13+31431.6</f>
        <v>313658.69999999995</v>
      </c>
      <c r="G220" s="18">
        <f>7009.52+52585.43+28885.21+15775.9+22427.52+15383.09</f>
        <v>142066.67000000001</v>
      </c>
      <c r="H220" s="18">
        <f>8333.33+4252+1574.52+127.26+1696.76+10594.54+70.2</f>
        <v>26648.610000000004</v>
      </c>
      <c r="I220" s="18">
        <f>700.71+1173.6+167.16+319.75+384.29</f>
        <v>2745.51</v>
      </c>
      <c r="J220" s="18">
        <f>116.63+728.87</f>
        <v>845.5</v>
      </c>
      <c r="K220" s="18">
        <v>0</v>
      </c>
      <c r="L220" s="19">
        <f t="shared" ref="L220:L226" si="2">SUM(F220:K220)</f>
        <v>485964.99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2500+70333.12+8697.94+43828.95</f>
        <v>125360.01</v>
      </c>
      <c r="G221" s="18">
        <f>588.67+37410.26+17984.26</f>
        <v>55983.19</v>
      </c>
      <c r="H221" s="18">
        <f>747.5+2205.15+1135.17+7060.23+295+1550.77+10609.95+15418.58</f>
        <v>39022.35</v>
      </c>
      <c r="I221" s="18">
        <f>832.69+5399.37+4011.61</f>
        <v>10243.67</v>
      </c>
      <c r="J221" s="18">
        <f>218+80479.08</f>
        <v>80697.08</v>
      </c>
      <c r="K221" s="18">
        <v>0</v>
      </c>
      <c r="L221" s="19">
        <f t="shared" si="2"/>
        <v>311306.30000000005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5059.5+66.67+400-0.01</f>
        <v>5526.16</v>
      </c>
      <c r="G222" s="18">
        <f>318.75+30.6</f>
        <v>349.35</v>
      </c>
      <c r="H222" s="18">
        <f>5347.34+5592.77+4026.67+242505.67</f>
        <v>257472.45</v>
      </c>
      <c r="I222" s="18">
        <f>2138.29</f>
        <v>2138.29</v>
      </c>
      <c r="J222" s="18">
        <v>0</v>
      </c>
      <c r="K222" s="18">
        <f>17096.84+1824.83</f>
        <v>18921.669999999998</v>
      </c>
      <c r="L222" s="19">
        <f t="shared" si="2"/>
        <v>284407.92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106228.72+88388.62+86639.28</f>
        <v>281256.62</v>
      </c>
      <c r="G223" s="18">
        <f>1737+119672.71</f>
        <v>121409.71</v>
      </c>
      <c r="H223" s="18">
        <f>870.32+3760.01+1766.99+274.76+369.39</f>
        <v>7041.47</v>
      </c>
      <c r="I223" s="18">
        <f>68</f>
        <v>68</v>
      </c>
      <c r="J223" s="18">
        <v>0</v>
      </c>
      <c r="K223" s="18">
        <f>1540</f>
        <v>1540</v>
      </c>
      <c r="L223" s="19">
        <f t="shared" si="2"/>
        <v>411315.8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105037.68+1604.33+31710.16</f>
        <v>138352.16999999998</v>
      </c>
      <c r="G225" s="18">
        <f>63492.15+22818.84</f>
        <v>86310.99</v>
      </c>
      <c r="H225" s="18">
        <f>43+9222.66+5826.2+4579.79+12783.8+2206.75+99+15625.35+36674.91+18144.55+45+12753.66+864.6+13258+2890+374.11</f>
        <v>135391.38</v>
      </c>
      <c r="I225" s="18">
        <f>16907.82+28440.87+109043.31+129.31+1626.1+821.66</f>
        <v>156969.07</v>
      </c>
      <c r="J225" s="18">
        <v>0</v>
      </c>
      <c r="K225" s="18">
        <v>0</v>
      </c>
      <c r="L225" s="19">
        <f t="shared" si="2"/>
        <v>517023.61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f>117965.93+20593+4829.16+5851.77+26059.8</f>
        <v>175299.65999999997</v>
      </c>
      <c r="G226" s="18">
        <f>30323.69+2265.78+717.68+426.96+17284.91</f>
        <v>51019.01999999999</v>
      </c>
      <c r="H226" s="18">
        <f>780.78+58525.79+30710.26</f>
        <v>90016.83</v>
      </c>
      <c r="I226" s="18">
        <f>2067.67+38440.57</f>
        <v>40508.239999999998</v>
      </c>
      <c r="J226" s="18">
        <f>3418.67+43547.35</f>
        <v>46966.02</v>
      </c>
      <c r="K226" s="18">
        <f>3133.57</f>
        <v>3133.57</v>
      </c>
      <c r="L226" s="19">
        <f t="shared" si="2"/>
        <v>406943.33999999997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4357760.8</v>
      </c>
      <c r="G229" s="41">
        <f>SUM(G215:G228)</f>
        <v>1977578.02</v>
      </c>
      <c r="H229" s="41">
        <f>SUM(H215:H228)</f>
        <v>910735.46</v>
      </c>
      <c r="I229" s="41">
        <f>SUM(I215:I228)</f>
        <v>288475.8</v>
      </c>
      <c r="J229" s="41">
        <f>SUM(J215:J228)</f>
        <v>166843.69999999998</v>
      </c>
      <c r="K229" s="41">
        <f t="shared" si="3"/>
        <v>34187.299999999996</v>
      </c>
      <c r="L229" s="41">
        <f t="shared" si="3"/>
        <v>7735581.0800000001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2950503.98+45230.63</f>
        <v>2995734.61</v>
      </c>
      <c r="G233" s="18">
        <f>18810.54+1389239.91-0.01</f>
        <v>1408050.44</v>
      </c>
      <c r="H233" s="18">
        <f>28104.04+3299.17</f>
        <v>31403.21</v>
      </c>
      <c r="I233" s="18">
        <f>14089.64+3524.98+6400.07+8810.58+1407.77+9862.24+12124.1+17275.49+23729.06+654.61+1721.76+2600+756.97</f>
        <v>102957.26999999999</v>
      </c>
      <c r="J233" s="18">
        <f>6033.11+9915.48+14857.93+96.14+475</f>
        <v>31377.66</v>
      </c>
      <c r="K233" s="18">
        <f>5232</f>
        <v>5232</v>
      </c>
      <c r="L233" s="19">
        <f>SUM(F233:K233)</f>
        <v>4574755.1899999995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388900.3+465083.68+10778.36+50584.12</f>
        <v>915346.46</v>
      </c>
      <c r="G234" s="18">
        <f>411190.17</f>
        <v>411190.17</v>
      </c>
      <c r="H234" s="18">
        <f>1787.5+2553.48+165567.37+545553.58+1425.61+297</f>
        <v>717184.53999999992</v>
      </c>
      <c r="I234" s="18">
        <f>779.43+7238.01+147.9+594.85</f>
        <v>8760.19</v>
      </c>
      <c r="J234" s="18">
        <f>1625.46+3716.81+149.99+447.37</f>
        <v>5939.63</v>
      </c>
      <c r="K234" s="18">
        <f>277.72</f>
        <v>277.72000000000003</v>
      </c>
      <c r="L234" s="19">
        <f>SUM(F234:K234)</f>
        <v>2058698.7099999997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0</v>
      </c>
      <c r="G235" s="18">
        <v>0</v>
      </c>
      <c r="H235" s="18">
        <v>92457.48</v>
      </c>
      <c r="I235" s="18">
        <v>0</v>
      </c>
      <c r="J235" s="18">
        <v>0</v>
      </c>
      <c r="K235" s="18">
        <v>0</v>
      </c>
      <c r="L235" s="19">
        <f>SUM(F235:K235)</f>
        <v>92457.48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f>52157.51+78466.61+172824.52+8400</f>
        <v>311848.64</v>
      </c>
      <c r="G236" s="18">
        <f>12215.2-0.01+80304.69+1977.1</f>
        <v>94496.98000000001</v>
      </c>
      <c r="H236" s="18">
        <f>3610.8+47351+3016.43+31945.36+1807.1</f>
        <v>87730.69</v>
      </c>
      <c r="I236" s="18">
        <f>9893.1+18833.93</f>
        <v>28727.03</v>
      </c>
      <c r="J236" s="18">
        <f>14448</f>
        <v>14448</v>
      </c>
      <c r="K236" s="18">
        <f>4278.6+1024.5+8175</f>
        <v>13478.1</v>
      </c>
      <c r="L236" s="19">
        <f>SUM(F236:K236)</f>
        <v>550729.43999999994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203151.54+46454.78+62682.1+38199.72+39306.57+13148.13+31431.6</f>
        <v>434374.44</v>
      </c>
      <c r="G238" s="18">
        <f>7009.52+110327.41+24938.28+15775.9+0.01+22427.52+15383.09+7.73</f>
        <v>195869.46000000002</v>
      </c>
      <c r="H238" s="18">
        <f>8333.34+4561.4+700+4252+69+274+1954.2+127.26+1696.76+10594.54+70.2</f>
        <v>32632.699999999997</v>
      </c>
      <c r="I238" s="18">
        <f>3019.95+3766+2435.18+109.83+207.47+319.75+384.29</f>
        <v>10242.469999999999</v>
      </c>
      <c r="J238" s="18">
        <f>2024.9+408.95+116.63+728.87</f>
        <v>3279.35</v>
      </c>
      <c r="K238" s="18">
        <f>610+150</f>
        <v>760</v>
      </c>
      <c r="L238" s="19">
        <f t="shared" ref="L238:L244" si="4">SUM(F238:K238)</f>
        <v>677158.41999999993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2500+74141.86+19872.34+94670.53</f>
        <v>191184.72999999998</v>
      </c>
      <c r="G239" s="18">
        <f>588.68+44502.71+38845.99-0.02</f>
        <v>83937.36</v>
      </c>
      <c r="H239" s="18">
        <f>7678.12+3510.66+7109.45+1213.48+1924.72+13168.43+19136.61</f>
        <v>53741.47</v>
      </c>
      <c r="I239" s="18">
        <f>4192.77+2701.69+38074.24</f>
        <v>44968.7</v>
      </c>
      <c r="J239" s="18">
        <f>2297+7233.45+1771.24+596+99885.8</f>
        <v>111783.49</v>
      </c>
      <c r="K239" s="18">
        <f>643</f>
        <v>643</v>
      </c>
      <c r="L239" s="19">
        <f t="shared" si="4"/>
        <v>486258.74999999994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5059.5+66.67+400-0.02</f>
        <v>5526.15</v>
      </c>
      <c r="G240" s="18">
        <f>318.75+30.6</f>
        <v>349.35</v>
      </c>
      <c r="H240" s="18">
        <f>5347.34+5592.77+4026.67+242505.67</f>
        <v>257472.45</v>
      </c>
      <c r="I240" s="18">
        <f>2138.29</f>
        <v>2138.29</v>
      </c>
      <c r="J240" s="18">
        <v>0</v>
      </c>
      <c r="K240" s="18">
        <f>17096.84+1824.83</f>
        <v>18921.669999999998</v>
      </c>
      <c r="L240" s="19">
        <f t="shared" si="4"/>
        <v>284407.90999999997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123337.3+104471.18+88086.78</f>
        <v>315895.26</v>
      </c>
      <c r="G241" s="18">
        <f>8160+134411.2</f>
        <v>142571.20000000001</v>
      </c>
      <c r="H241" s="18">
        <f>969.66+16786.28+3325.26+8064.5+1184.71</f>
        <v>30330.409999999996</v>
      </c>
      <c r="I241" s="18">
        <f>4915.65</f>
        <v>4915.6499999999996</v>
      </c>
      <c r="J241" s="18">
        <f>375</f>
        <v>375</v>
      </c>
      <c r="K241" s="18">
        <f>3186.12+6924.76</f>
        <v>10110.880000000001</v>
      </c>
      <c r="L241" s="19">
        <f t="shared" si="4"/>
        <v>504198.40000000002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200088.37+1604.33+93264.07</f>
        <v>294956.77</v>
      </c>
      <c r="G243" s="18">
        <f>120083.1+67113.43</f>
        <v>187196.53</v>
      </c>
      <c r="H243" s="18">
        <f>43+11179.17+8677.75+312.49+2038.82+11565.08+948.01+140+23174.87+38004.26+29770.1+39179.81+4611.22-45+52425.63+1499.99+970.02</f>
        <v>224495.22</v>
      </c>
      <c r="I243" s="18">
        <f>28042.22+67307.22+178909.38+19.91+8672.52+4382.16</f>
        <v>287333.40999999997</v>
      </c>
      <c r="J243" s="18">
        <f>6113.75</f>
        <v>6113.75</v>
      </c>
      <c r="K243" s="18">
        <v>0</v>
      </c>
      <c r="L243" s="19">
        <f t="shared" si="4"/>
        <v>1000095.6799999999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f>8204.4+36297.21+20593+10029.79+16905.13+8018.4</f>
        <v>100047.93</v>
      </c>
      <c r="G244" s="18">
        <f>937.92+9330.37+2265.78+1490.57+1233.45+5318.43</f>
        <v>20576.520000000004</v>
      </c>
      <c r="H244" s="18">
        <f>240.24+58525.79+12511.58+9449.31-0.08</f>
        <v>80726.84</v>
      </c>
      <c r="I244" s="18">
        <f>636.21+11827.87</f>
        <v>12464.080000000002</v>
      </c>
      <c r="J244" s="18">
        <f>3418.67+13399.19</f>
        <v>16817.86</v>
      </c>
      <c r="K244" s="18">
        <f>964.18</f>
        <v>964.18</v>
      </c>
      <c r="L244" s="19">
        <f t="shared" si="4"/>
        <v>231597.40999999997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5564914.9900000002</v>
      </c>
      <c r="G247" s="41">
        <f t="shared" si="5"/>
        <v>2544238.0099999998</v>
      </c>
      <c r="H247" s="41">
        <f t="shared" si="5"/>
        <v>1608175.0099999998</v>
      </c>
      <c r="I247" s="41">
        <f t="shared" si="5"/>
        <v>502507.08999999997</v>
      </c>
      <c r="J247" s="41">
        <f t="shared" si="5"/>
        <v>190134.74</v>
      </c>
      <c r="K247" s="41">
        <f t="shared" si="5"/>
        <v>50387.549999999996</v>
      </c>
      <c r="L247" s="41">
        <f t="shared" si="5"/>
        <v>10460357.390000001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14156335.5</v>
      </c>
      <c r="G257" s="41">
        <f t="shared" si="8"/>
        <v>6450251.0499999998</v>
      </c>
      <c r="H257" s="41">
        <f t="shared" si="8"/>
        <v>3305734.6399999997</v>
      </c>
      <c r="I257" s="41">
        <f t="shared" si="8"/>
        <v>1052056.43</v>
      </c>
      <c r="J257" s="41">
        <f t="shared" si="8"/>
        <v>504490.6</v>
      </c>
      <c r="K257" s="41">
        <f t="shared" si="8"/>
        <v>109699.62</v>
      </c>
      <c r="L257" s="41">
        <f t="shared" si="8"/>
        <v>25578567.84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1005000</v>
      </c>
      <c r="L260" s="19">
        <f>SUM(F260:K260)</f>
        <v>1005000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116043.75</v>
      </c>
      <c r="L261" s="19">
        <f>SUM(F261:K261)</f>
        <v>116043.75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68430</v>
      </c>
      <c r="L266" s="19">
        <f t="shared" si="9"/>
        <v>68430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0</v>
      </c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1189473.75</v>
      </c>
      <c r="L270" s="41">
        <f t="shared" si="9"/>
        <v>1189473.75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14156335.5</v>
      </c>
      <c r="G271" s="42">
        <f t="shared" si="11"/>
        <v>6450251.0499999998</v>
      </c>
      <c r="H271" s="42">
        <f t="shared" si="11"/>
        <v>3305734.6399999997</v>
      </c>
      <c r="I271" s="42">
        <f t="shared" si="11"/>
        <v>1052056.43</v>
      </c>
      <c r="J271" s="42">
        <f t="shared" si="11"/>
        <v>504490.6</v>
      </c>
      <c r="K271" s="42">
        <f t="shared" si="11"/>
        <v>1299173.3700000001</v>
      </c>
      <c r="L271" s="42">
        <f t="shared" si="11"/>
        <v>26768041.59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13155.03+5573+1600+35672.8+72422</f>
        <v>128422.83</v>
      </c>
      <c r="G277" s="18">
        <f>1634.6+2312.11+17781+1854+2728.97+5589.93+63.13+5540.27</f>
        <v>37504.01</v>
      </c>
      <c r="H277" s="18">
        <f>1798+600+854.05+2355.6</f>
        <v>5607.65</v>
      </c>
      <c r="I277" s="18">
        <f>3062.28+812.87+1332.05+474.61+3990.93</f>
        <v>9672.74</v>
      </c>
      <c r="J277" s="18">
        <f>1217.64</f>
        <v>1217.6400000000001</v>
      </c>
      <c r="K277" s="18">
        <f>353.99+6124+2077.64+3184.61+0.03</f>
        <v>11740.27</v>
      </c>
      <c r="L277" s="19">
        <f>SUM(F277:K277)</f>
        <v>194165.13999999998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19180</f>
        <v>19180</v>
      </c>
      <c r="G281" s="18">
        <v>1467.06</v>
      </c>
      <c r="H281" s="18">
        <f>50</f>
        <v>50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20697.060000000001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9545.67</f>
        <v>9545.67</v>
      </c>
      <c r="G282" s="18">
        <f>730.29</f>
        <v>730.29</v>
      </c>
      <c r="H282" s="18">
        <v>0</v>
      </c>
      <c r="I282" s="18">
        <v>0</v>
      </c>
      <c r="J282" s="18">
        <v>0</v>
      </c>
      <c r="K282" s="18">
        <v>113.03</v>
      </c>
      <c r="L282" s="19">
        <f t="shared" si="12"/>
        <v>10388.99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0</v>
      </c>
      <c r="I287" s="18">
        <f>3000</f>
        <v>3000</v>
      </c>
      <c r="J287" s="18">
        <v>0</v>
      </c>
      <c r="K287" s="18">
        <v>0</v>
      </c>
      <c r="L287" s="19">
        <f t="shared" si="12"/>
        <v>3000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157148.50000000003</v>
      </c>
      <c r="G290" s="42">
        <f t="shared" si="13"/>
        <v>39701.360000000001</v>
      </c>
      <c r="H290" s="42">
        <f t="shared" si="13"/>
        <v>5657.65</v>
      </c>
      <c r="I290" s="42">
        <f t="shared" si="13"/>
        <v>12672.74</v>
      </c>
      <c r="J290" s="42">
        <f t="shared" si="13"/>
        <v>1217.6400000000001</v>
      </c>
      <c r="K290" s="42">
        <f t="shared" si="13"/>
        <v>11853.300000000001</v>
      </c>
      <c r="L290" s="41">
        <f t="shared" si="13"/>
        <v>228251.18999999997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41235</f>
        <v>41235</v>
      </c>
      <c r="G296" s="18">
        <f>3154.47</f>
        <v>3154.47</v>
      </c>
      <c r="H296" s="18">
        <f>2355.6</f>
        <v>2355.6</v>
      </c>
      <c r="I296" s="18">
        <f>3990.93</f>
        <v>3990.93</v>
      </c>
      <c r="J296" s="18">
        <f>1217.64</f>
        <v>1217.6400000000001</v>
      </c>
      <c r="K296" s="18">
        <f>2163.5</f>
        <v>2163.5</v>
      </c>
      <c r="L296" s="19">
        <f>SUM(F296:K296)</f>
        <v>54117.14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f>19180</f>
        <v>19180</v>
      </c>
      <c r="G300" s="18">
        <v>1467.06</v>
      </c>
      <c r="H300" s="18">
        <f>50</f>
        <v>50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20697.060000000001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9545.67</f>
        <v>9545.67</v>
      </c>
      <c r="G301" s="18">
        <f>730.29</f>
        <v>730.29</v>
      </c>
      <c r="H301" s="18">
        <v>0</v>
      </c>
      <c r="I301" s="18">
        <v>0</v>
      </c>
      <c r="J301" s="18">
        <v>0</v>
      </c>
      <c r="K301" s="18">
        <v>113.03</v>
      </c>
      <c r="L301" s="19">
        <f t="shared" si="14"/>
        <v>10388.99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69960.67</v>
      </c>
      <c r="G309" s="42">
        <f t="shared" si="15"/>
        <v>5351.82</v>
      </c>
      <c r="H309" s="42">
        <f t="shared" si="15"/>
        <v>2405.6</v>
      </c>
      <c r="I309" s="42">
        <f t="shared" si="15"/>
        <v>3990.93</v>
      </c>
      <c r="J309" s="42">
        <f t="shared" si="15"/>
        <v>1217.6400000000001</v>
      </c>
      <c r="K309" s="42">
        <f t="shared" si="15"/>
        <v>2276.5300000000002</v>
      </c>
      <c r="L309" s="41">
        <f t="shared" si="15"/>
        <v>85203.19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37235</f>
        <v>37235</v>
      </c>
      <c r="G315" s="18">
        <f>2848.47</f>
        <v>2848.47</v>
      </c>
      <c r="H315" s="18">
        <f>2355.6</f>
        <v>2355.6</v>
      </c>
      <c r="I315" s="18">
        <f>3990.93</f>
        <v>3990.93</v>
      </c>
      <c r="J315" s="18">
        <f>1217.64</f>
        <v>1217.6400000000001</v>
      </c>
      <c r="K315" s="18">
        <f>2032.54</f>
        <v>2032.54</v>
      </c>
      <c r="L315" s="19">
        <f>SUM(F315:K315)</f>
        <v>49680.18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f>19180</f>
        <v>19180</v>
      </c>
      <c r="G319" s="18">
        <v>1467.06</v>
      </c>
      <c r="H319" s="18">
        <f>50</f>
        <v>50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20697.060000000001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f>9545.66</f>
        <v>9545.66</v>
      </c>
      <c r="G320" s="18">
        <v>730.28</v>
      </c>
      <c r="H320" s="18">
        <f>388.5</f>
        <v>388.5</v>
      </c>
      <c r="I320" s="18">
        <v>0</v>
      </c>
      <c r="J320" s="18">
        <f>750</f>
        <v>750</v>
      </c>
      <c r="K320" s="18">
        <v>113.04</v>
      </c>
      <c r="L320" s="19">
        <f t="shared" si="16"/>
        <v>11527.480000000001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65960.66</v>
      </c>
      <c r="G328" s="42">
        <f t="shared" si="17"/>
        <v>5045.8099999999995</v>
      </c>
      <c r="H328" s="42">
        <f t="shared" si="17"/>
        <v>2794.1</v>
      </c>
      <c r="I328" s="42">
        <f t="shared" si="17"/>
        <v>3990.93</v>
      </c>
      <c r="J328" s="42">
        <f t="shared" si="17"/>
        <v>1967.64</v>
      </c>
      <c r="K328" s="42">
        <f t="shared" si="17"/>
        <v>2145.58</v>
      </c>
      <c r="L328" s="41">
        <f t="shared" si="17"/>
        <v>81904.72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293069.83000000007</v>
      </c>
      <c r="G338" s="41">
        <f t="shared" si="20"/>
        <v>50098.99</v>
      </c>
      <c r="H338" s="41">
        <f t="shared" si="20"/>
        <v>10857.35</v>
      </c>
      <c r="I338" s="41">
        <f t="shared" si="20"/>
        <v>20654.599999999999</v>
      </c>
      <c r="J338" s="41">
        <f t="shared" si="20"/>
        <v>4402.92</v>
      </c>
      <c r="K338" s="41">
        <f t="shared" si="20"/>
        <v>16275.410000000002</v>
      </c>
      <c r="L338" s="41">
        <f t="shared" si="20"/>
        <v>395359.1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>
        <v>0</v>
      </c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>
        <v>0</v>
      </c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293069.83000000007</v>
      </c>
      <c r="G352" s="41">
        <f>G338</f>
        <v>50098.99</v>
      </c>
      <c r="H352" s="41">
        <f>H338</f>
        <v>10857.35</v>
      </c>
      <c r="I352" s="41">
        <f>I338</f>
        <v>20654.599999999999</v>
      </c>
      <c r="J352" s="41">
        <f>J338</f>
        <v>4402.92</v>
      </c>
      <c r="K352" s="47">
        <f>K338+K351</f>
        <v>16275.410000000002</v>
      </c>
      <c r="L352" s="41">
        <f>L338+L351</f>
        <v>395359.1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43260.160000000003</v>
      </c>
      <c r="G358" s="18">
        <v>21891.63</v>
      </c>
      <c r="H358" s="18">
        <v>5276.42</v>
      </c>
      <c r="I358" s="18">
        <v>65924.03</v>
      </c>
      <c r="J358" s="18">
        <v>3808</v>
      </c>
      <c r="K358" s="18">
        <v>401.84</v>
      </c>
      <c r="L358" s="13">
        <f>SUM(F358:K358)</f>
        <v>140562.07999999999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58191.98</v>
      </c>
      <c r="G359" s="18">
        <v>29447.81</v>
      </c>
      <c r="H359" s="18">
        <v>7097.65</v>
      </c>
      <c r="I359" s="18">
        <v>88678.59</v>
      </c>
      <c r="J359" s="18">
        <v>5122.38</v>
      </c>
      <c r="K359" s="18">
        <v>540.54</v>
      </c>
      <c r="L359" s="19">
        <f>SUM(F359:K359)</f>
        <v>189078.95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106425.21</v>
      </c>
      <c r="G360" s="18">
        <v>53856.04</v>
      </c>
      <c r="H360" s="18">
        <v>12980.63</v>
      </c>
      <c r="I360" s="18">
        <v>162181.07</v>
      </c>
      <c r="J360" s="18">
        <v>9368.1299999999992</v>
      </c>
      <c r="K360" s="18">
        <v>988.58</v>
      </c>
      <c r="L360" s="19">
        <f>SUM(F360:K360)</f>
        <v>345799.66000000003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207877.35000000003</v>
      </c>
      <c r="G362" s="47">
        <f t="shared" si="22"/>
        <v>105195.48000000001</v>
      </c>
      <c r="H362" s="47">
        <f t="shared" si="22"/>
        <v>25354.699999999997</v>
      </c>
      <c r="I362" s="47">
        <f t="shared" si="22"/>
        <v>316783.69</v>
      </c>
      <c r="J362" s="47">
        <f t="shared" si="22"/>
        <v>18298.510000000002</v>
      </c>
      <c r="K362" s="47">
        <f t="shared" si="22"/>
        <v>1930.96</v>
      </c>
      <c r="L362" s="47">
        <f t="shared" si="22"/>
        <v>675440.69000000006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f>I358-F368</f>
        <v>58177.88</v>
      </c>
      <c r="G367" s="18">
        <f>I359-G368</f>
        <v>78258.75</v>
      </c>
      <c r="H367" s="18">
        <f>I360-H368</f>
        <v>143124.61000000002</v>
      </c>
      <c r="I367" s="56">
        <f>SUM(F367:H367)</f>
        <v>279561.24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7746.15</v>
      </c>
      <c r="G368" s="63">
        <v>10419.84</v>
      </c>
      <c r="H368" s="63">
        <v>19056.46</v>
      </c>
      <c r="I368" s="56">
        <f>SUM(F368:H368)</f>
        <v>37222.449999999997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65924.03</v>
      </c>
      <c r="G369" s="47">
        <f>SUM(G367:G368)</f>
        <v>88678.59</v>
      </c>
      <c r="H369" s="47">
        <f>SUM(H367:H368)</f>
        <v>162181.07</v>
      </c>
      <c r="I369" s="47">
        <f>SUM(I367:I368)</f>
        <v>316783.69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>
        <v>0</v>
      </c>
      <c r="G387" s="18">
        <v>0</v>
      </c>
      <c r="H387" s="18">
        <v>0</v>
      </c>
      <c r="I387" s="18">
        <v>0</v>
      </c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>
        <v>0</v>
      </c>
      <c r="G389" s="18">
        <v>39680</v>
      </c>
      <c r="H389" s="18">
        <f>10177.17+15.75+7908.34+1539.76</f>
        <v>19641.02</v>
      </c>
      <c r="I389" s="18">
        <v>0</v>
      </c>
      <c r="J389" s="24" t="s">
        <v>288</v>
      </c>
      <c r="K389" s="24" t="s">
        <v>288</v>
      </c>
      <c r="L389" s="56">
        <f t="shared" si="25"/>
        <v>59321.020000000004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>
        <v>0</v>
      </c>
      <c r="G391" s="18">
        <v>28750</v>
      </c>
      <c r="H391" s="18">
        <v>0</v>
      </c>
      <c r="I391" s="18">
        <v>0</v>
      </c>
      <c r="J391" s="24" t="s">
        <v>288</v>
      </c>
      <c r="K391" s="24" t="s">
        <v>288</v>
      </c>
      <c r="L391" s="56">
        <f t="shared" si="25"/>
        <v>28750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68430</v>
      </c>
      <c r="H393" s="139">
        <f>SUM(H387:H392)</f>
        <v>19641.02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88071.02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>
        <v>0</v>
      </c>
      <c r="G397" s="18">
        <v>0</v>
      </c>
      <c r="H397" s="18">
        <v>8132.53</v>
      </c>
      <c r="I397" s="18">
        <v>0</v>
      </c>
      <c r="J397" s="24" t="s">
        <v>288</v>
      </c>
      <c r="K397" s="24" t="s">
        <v>288</v>
      </c>
      <c r="L397" s="56">
        <f t="shared" si="26"/>
        <v>8132.53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8132.53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8132.53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68430</v>
      </c>
      <c r="H408" s="47">
        <f>H393+H401+H407</f>
        <v>27773.55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96203.55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f>36153.51+39680</f>
        <v>75833.510000000009</v>
      </c>
      <c r="L415" s="56">
        <f t="shared" si="27"/>
        <v>75833.510000000009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75833.510000000009</v>
      </c>
      <c r="L419" s="47">
        <f t="shared" si="28"/>
        <v>75833.510000000009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75833.510000000009</v>
      </c>
      <c r="L434" s="47">
        <f t="shared" si="32"/>
        <v>75833.510000000009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1198571.3500000001</v>
      </c>
      <c r="G440" s="18">
        <v>365487.49</v>
      </c>
      <c r="H440" s="18">
        <v>0</v>
      </c>
      <c r="I440" s="56">
        <f t="shared" si="33"/>
        <v>1564058.84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1198571.3500000001</v>
      </c>
      <c r="G446" s="13">
        <f>SUM(G439:G445)</f>
        <v>365487.49</v>
      </c>
      <c r="H446" s="13">
        <f>SUM(H439:H445)</f>
        <v>0</v>
      </c>
      <c r="I446" s="13">
        <f>SUM(I439:I445)</f>
        <v>1564058.84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1198571.3500000001</v>
      </c>
      <c r="G459" s="18">
        <v>365487.49</v>
      </c>
      <c r="H459" s="18">
        <v>0</v>
      </c>
      <c r="I459" s="56">
        <f t="shared" si="34"/>
        <v>1564058.84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1198571.3500000001</v>
      </c>
      <c r="G460" s="83">
        <f>SUM(G454:G459)</f>
        <v>365487.49</v>
      </c>
      <c r="H460" s="83">
        <f>SUM(H454:H459)</f>
        <v>0</v>
      </c>
      <c r="I460" s="83">
        <f>SUM(I454:I459)</f>
        <v>1564058.84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1198571.3500000001</v>
      </c>
      <c r="G461" s="42">
        <f>G452+G460</f>
        <v>365487.49</v>
      </c>
      <c r="H461" s="42">
        <f>H452+H460</f>
        <v>0</v>
      </c>
      <c r="I461" s="42">
        <f>I452+I460</f>
        <v>1564058.84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1063409.3500000001</v>
      </c>
      <c r="G465" s="18">
        <v>127951.62</v>
      </c>
      <c r="H465" s="18">
        <v>0</v>
      </c>
      <c r="I465" s="18">
        <v>0</v>
      </c>
      <c r="J465" s="18">
        <f>450409.33+37801.06+696.7+7897.91+349995.57+165697.15+68148.47+74937.65+271405.92+87949.04+28750</f>
        <v>1543688.8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26597875.059999999</v>
      </c>
      <c r="G468" s="18">
        <f>G193</f>
        <v>719253.97</v>
      </c>
      <c r="H468" s="18">
        <f>H193</f>
        <v>395359.1</v>
      </c>
      <c r="I468" s="18">
        <v>0</v>
      </c>
      <c r="J468" s="18">
        <f>L408</f>
        <v>96203.55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>
        <v>0</v>
      </c>
      <c r="G469" s="18">
        <v>0</v>
      </c>
      <c r="H469" s="18">
        <v>0</v>
      </c>
      <c r="I469" s="18">
        <v>0</v>
      </c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26597875.059999999</v>
      </c>
      <c r="G470" s="53">
        <f>SUM(G468:G469)</f>
        <v>719253.97</v>
      </c>
      <c r="H470" s="53">
        <f>SUM(H468:H469)</f>
        <v>395359.1</v>
      </c>
      <c r="I470" s="53">
        <f>SUM(I468:I469)</f>
        <v>0</v>
      </c>
      <c r="J470" s="53">
        <f>SUM(J468:J469)</f>
        <v>96203.55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26768041.59</v>
      </c>
      <c r="G472" s="18">
        <f>L362</f>
        <v>675440.69000000006</v>
      </c>
      <c r="H472" s="18">
        <f>L352</f>
        <v>395359.1</v>
      </c>
      <c r="I472" s="18">
        <v>0</v>
      </c>
      <c r="J472" s="18">
        <f>L434</f>
        <v>75833.510000000009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>
        <v>0</v>
      </c>
      <c r="G473" s="18">
        <v>0</v>
      </c>
      <c r="H473" s="18"/>
      <c r="I473" s="18">
        <v>0</v>
      </c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26768041.59</v>
      </c>
      <c r="G474" s="53">
        <f>SUM(G472:G473)</f>
        <v>675440.69000000006</v>
      </c>
      <c r="H474" s="53">
        <f>SUM(H472:H473)</f>
        <v>395359.1</v>
      </c>
      <c r="I474" s="53">
        <f>SUM(I472:I473)</f>
        <v>0</v>
      </c>
      <c r="J474" s="53">
        <f>SUM(J472:J473)</f>
        <v>75833.510000000009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893242.8200000003</v>
      </c>
      <c r="G476" s="53">
        <f>(G465+G470)- G474</f>
        <v>171764.89999999991</v>
      </c>
      <c r="H476" s="53">
        <f>(H465+H470)- H474</f>
        <v>0</v>
      </c>
      <c r="I476" s="53">
        <f>(I465+I470)- I474</f>
        <v>0</v>
      </c>
      <c r="J476" s="53">
        <f>(J465+J470)- J474</f>
        <v>1564058.84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4027000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4.4000000000000004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2200000</v>
      </c>
      <c r="G495" s="18"/>
      <c r="H495" s="18"/>
      <c r="I495" s="18"/>
      <c r="J495" s="18"/>
      <c r="K495" s="53">
        <f>SUM(F495:J495)</f>
        <v>2200000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200000</v>
      </c>
      <c r="G497" s="18"/>
      <c r="H497" s="18"/>
      <c r="I497" s="18"/>
      <c r="J497" s="18"/>
      <c r="K497" s="53">
        <f t="shared" si="35"/>
        <v>200000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2000000</v>
      </c>
      <c r="G498" s="204"/>
      <c r="H498" s="204"/>
      <c r="I498" s="204"/>
      <c r="J498" s="204"/>
      <c r="K498" s="205">
        <f t="shared" si="35"/>
        <v>2000000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851661-48600-44300</f>
        <v>758761</v>
      </c>
      <c r="G499" s="18"/>
      <c r="H499" s="18"/>
      <c r="I499" s="18"/>
      <c r="J499" s="18"/>
      <c r="K499" s="53">
        <f t="shared" si="35"/>
        <v>758761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2758761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2758761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200000</v>
      </c>
      <c r="G501" s="204"/>
      <c r="H501" s="204"/>
      <c r="I501" s="204"/>
      <c r="J501" s="204"/>
      <c r="K501" s="205">
        <f t="shared" si="35"/>
        <v>200000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44300+40000</f>
        <v>84300</v>
      </c>
      <c r="G502" s="18"/>
      <c r="H502" s="18"/>
      <c r="I502" s="18"/>
      <c r="J502" s="18"/>
      <c r="K502" s="53">
        <f t="shared" si="35"/>
        <v>84300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284300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284300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F198+F277-F557-F562-F567</f>
        <v>934187.24</v>
      </c>
      <c r="G521" s="18">
        <f t="shared" ref="G521:K521" si="36">G198+G277-G557-G562-G567</f>
        <v>387475.77999999997</v>
      </c>
      <c r="H521" s="18">
        <f t="shared" si="36"/>
        <v>239320.6</v>
      </c>
      <c r="I521" s="18">
        <f t="shared" si="36"/>
        <v>5321.67</v>
      </c>
      <c r="J521" s="18">
        <f t="shared" si="36"/>
        <v>3973.59</v>
      </c>
      <c r="K521" s="18">
        <f t="shared" si="36"/>
        <v>3746.1600000000017</v>
      </c>
      <c r="L521" s="88">
        <f>SUM(F521:K521)</f>
        <v>1574025.04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F216+F296-F558-F563-F568</f>
        <v>828734.36</v>
      </c>
      <c r="G522" s="18">
        <f t="shared" ref="G522:K522" si="37">G216+G296-G558-G563-G568</f>
        <v>356913.42</v>
      </c>
      <c r="H522" s="18">
        <f t="shared" si="37"/>
        <v>317486.02</v>
      </c>
      <c r="I522" s="18">
        <f t="shared" si="37"/>
        <v>310.5300000000002</v>
      </c>
      <c r="J522" s="18">
        <f t="shared" si="37"/>
        <v>6256.53</v>
      </c>
      <c r="K522" s="18">
        <f t="shared" si="37"/>
        <v>2387.2600000000002</v>
      </c>
      <c r="L522" s="88">
        <f>SUM(F522:K522)</f>
        <v>1512088.12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F234+F315-F559-F564-F569</f>
        <v>952581.46</v>
      </c>
      <c r="G523" s="18">
        <f t="shared" ref="G523:K523" si="38">G234+G315-G559-G564-G569</f>
        <v>414038.63999999996</v>
      </c>
      <c r="H523" s="18">
        <f t="shared" si="38"/>
        <v>719540.1399999999</v>
      </c>
      <c r="I523" s="18">
        <f t="shared" si="38"/>
        <v>12751.12</v>
      </c>
      <c r="J523" s="18">
        <f t="shared" si="38"/>
        <v>7157.27</v>
      </c>
      <c r="K523" s="18">
        <f t="shared" si="38"/>
        <v>2310.2600000000002</v>
      </c>
      <c r="L523" s="88">
        <f>SUM(F523:K523)</f>
        <v>2108378.8899999997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2715503.06</v>
      </c>
      <c r="G524" s="108">
        <f t="shared" ref="G524:L524" si="39">SUM(G521:G523)</f>
        <v>1158427.8399999999</v>
      </c>
      <c r="H524" s="108">
        <f t="shared" si="39"/>
        <v>1276346.7599999998</v>
      </c>
      <c r="I524" s="108">
        <f t="shared" si="39"/>
        <v>18383.32</v>
      </c>
      <c r="J524" s="108">
        <f t="shared" si="39"/>
        <v>17387.39</v>
      </c>
      <c r="K524" s="108">
        <f t="shared" si="39"/>
        <v>8443.6800000000021</v>
      </c>
      <c r="L524" s="89">
        <f t="shared" si="39"/>
        <v>5194492.05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76812.84+200156.86+97742.71+125726.39</f>
        <v>500438.8</v>
      </c>
      <c r="G526" s="18">
        <f>31722.53+127369.86+61532.37</f>
        <v>220624.76</v>
      </c>
      <c r="H526" s="18">
        <f>1460.3+775.93+10345.44+280.81+42378.15</f>
        <v>55240.630000000005</v>
      </c>
      <c r="I526" s="18">
        <f>155.04+1949.55+1552.67</f>
        <v>3657.26</v>
      </c>
      <c r="J526" s="18">
        <f>711.13+2915.47</f>
        <v>3626.6</v>
      </c>
      <c r="K526" s="18">
        <v>0</v>
      </c>
      <c r="L526" s="88">
        <f>SUM(F526:K526)</f>
        <v>783588.05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38199.72+39306.57+13148.13+31431.6</f>
        <v>122086.02000000002</v>
      </c>
      <c r="G527" s="18">
        <f>15775.9+22427.52+15383.09</f>
        <v>53586.509999999995</v>
      </c>
      <c r="H527" s="18">
        <f>1574.52+127.26+1696.76+70.2+10594.54</f>
        <v>14063.28</v>
      </c>
      <c r="I527" s="18">
        <f>167.16+319.75+388.17</f>
        <v>875.07999999999993</v>
      </c>
      <c r="J527" s="18">
        <f>116.63+728.87</f>
        <v>845.5</v>
      </c>
      <c r="K527" s="18">
        <v>0</v>
      </c>
      <c r="L527" s="88">
        <f>SUM(F527:K527)</f>
        <v>191456.39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f>38199.72+39306.57+13148.13+31431.6</f>
        <v>122086.02000000002</v>
      </c>
      <c r="G528" s="18">
        <f>15775.9+22427.52+15383.09</f>
        <v>53586.509999999995</v>
      </c>
      <c r="H528" s="18">
        <f>1954.2+127.26+1696.76+70.2+10594.54</f>
        <v>14442.960000000001</v>
      </c>
      <c r="I528" s="18">
        <f>207.47+319.75+388.17</f>
        <v>915.3900000000001</v>
      </c>
      <c r="J528" s="18">
        <f>116.63+728.87</f>
        <v>845.5</v>
      </c>
      <c r="K528" s="18">
        <v>0</v>
      </c>
      <c r="L528" s="88">
        <f>SUM(F528:K528)</f>
        <v>191876.38000000003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744610.84000000008</v>
      </c>
      <c r="G529" s="89">
        <f t="shared" ref="G529:L529" si="40">SUM(G526:G528)</f>
        <v>327797.78000000003</v>
      </c>
      <c r="H529" s="89">
        <f t="shared" si="40"/>
        <v>83746.87000000001</v>
      </c>
      <c r="I529" s="89">
        <f t="shared" si="40"/>
        <v>5447.7300000000005</v>
      </c>
      <c r="J529" s="89">
        <f t="shared" si="40"/>
        <v>5317.6</v>
      </c>
      <c r="K529" s="89">
        <f t="shared" si="40"/>
        <v>0</v>
      </c>
      <c r="L529" s="89">
        <f t="shared" si="40"/>
        <v>1166920.82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0</v>
      </c>
      <c r="G531" s="18">
        <v>0</v>
      </c>
      <c r="H531" s="18">
        <v>40807.370000000003</v>
      </c>
      <c r="I531" s="18">
        <v>0</v>
      </c>
      <c r="J531" s="18">
        <v>0</v>
      </c>
      <c r="K531" s="18">
        <v>0</v>
      </c>
      <c r="L531" s="88">
        <f>SUM(F531:K531)</f>
        <v>40807.370000000003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0</v>
      </c>
      <c r="G532" s="18">
        <v>0</v>
      </c>
      <c r="H532" s="18">
        <v>40807.370000000003</v>
      </c>
      <c r="I532" s="18">
        <v>0</v>
      </c>
      <c r="J532" s="18">
        <v>0</v>
      </c>
      <c r="K532" s="18">
        <v>0</v>
      </c>
      <c r="L532" s="88">
        <f>SUM(F532:K532)</f>
        <v>40807.370000000003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0</v>
      </c>
      <c r="G533" s="18">
        <v>0</v>
      </c>
      <c r="H533" s="18">
        <v>40807.339999999997</v>
      </c>
      <c r="I533" s="18">
        <v>0</v>
      </c>
      <c r="J533" s="18">
        <v>0</v>
      </c>
      <c r="K533" s="18">
        <v>0</v>
      </c>
      <c r="L533" s="88">
        <f>SUM(F533:K533)</f>
        <v>40807.339999999997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41">SUM(G531:G533)</f>
        <v>0</v>
      </c>
      <c r="H534" s="89">
        <f t="shared" si="41"/>
        <v>122422.08</v>
      </c>
      <c r="I534" s="89">
        <f t="shared" si="41"/>
        <v>0</v>
      </c>
      <c r="J534" s="89">
        <f t="shared" si="41"/>
        <v>0</v>
      </c>
      <c r="K534" s="89">
        <f t="shared" si="41"/>
        <v>0</v>
      </c>
      <c r="L534" s="89">
        <f t="shared" si="41"/>
        <v>122422.08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>
        <v>0</v>
      </c>
      <c r="G536" s="18">
        <v>0</v>
      </c>
      <c r="H536" s="18">
        <v>4080.85</v>
      </c>
      <c r="I536" s="18">
        <v>0</v>
      </c>
      <c r="J536" s="18">
        <v>0</v>
      </c>
      <c r="K536" s="18">
        <v>0</v>
      </c>
      <c r="L536" s="88">
        <f>SUM(F536:K536)</f>
        <v>4080.85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>
        <v>0</v>
      </c>
      <c r="G537" s="18">
        <v>0</v>
      </c>
      <c r="H537" s="18">
        <v>4080.85</v>
      </c>
      <c r="I537" s="18">
        <v>0</v>
      </c>
      <c r="J537" s="18">
        <v>0</v>
      </c>
      <c r="K537" s="18">
        <v>0</v>
      </c>
      <c r="L537" s="88">
        <f>SUM(F537:K537)</f>
        <v>4080.85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>
        <v>0</v>
      </c>
      <c r="G538" s="18">
        <v>0</v>
      </c>
      <c r="H538" s="18">
        <v>4080.85</v>
      </c>
      <c r="I538" s="18">
        <v>0</v>
      </c>
      <c r="J538" s="18">
        <v>0</v>
      </c>
      <c r="K538" s="18">
        <v>0</v>
      </c>
      <c r="L538" s="88">
        <f>SUM(F538:K538)</f>
        <v>4080.85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12242.55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12242.55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20593</v>
      </c>
      <c r="G541" s="18">
        <v>2265.7800000000002</v>
      </c>
      <c r="H541" s="18">
        <v>58525.79</v>
      </c>
      <c r="I541" s="18">
        <v>0</v>
      </c>
      <c r="J541" s="18">
        <v>3418.67</v>
      </c>
      <c r="K541" s="18">
        <v>0</v>
      </c>
      <c r="L541" s="88">
        <f>SUM(F541:K541)</f>
        <v>84803.24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20593</v>
      </c>
      <c r="G542" s="18">
        <v>2265.7800000000002</v>
      </c>
      <c r="H542" s="18">
        <v>58525.79</v>
      </c>
      <c r="I542" s="18">
        <v>0</v>
      </c>
      <c r="J542" s="18">
        <v>3418.67</v>
      </c>
      <c r="K542" s="18">
        <v>0</v>
      </c>
      <c r="L542" s="88">
        <f>SUM(F542:K542)</f>
        <v>84803.24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20593</v>
      </c>
      <c r="G543" s="18">
        <v>2265.7800000000002</v>
      </c>
      <c r="H543" s="18">
        <v>58525.78</v>
      </c>
      <c r="I543" s="18">
        <v>0</v>
      </c>
      <c r="J543" s="18">
        <v>3418.66</v>
      </c>
      <c r="K543" s="18">
        <v>0</v>
      </c>
      <c r="L543" s="88">
        <f>SUM(F543:K543)</f>
        <v>84803.22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61779</v>
      </c>
      <c r="G544" s="193">
        <f t="shared" ref="G544:L544" si="43">SUM(G541:G543)</f>
        <v>6797.34</v>
      </c>
      <c r="H544" s="193">
        <f t="shared" si="43"/>
        <v>175577.36</v>
      </c>
      <c r="I544" s="193">
        <f t="shared" si="43"/>
        <v>0</v>
      </c>
      <c r="J544" s="193">
        <f t="shared" si="43"/>
        <v>10256</v>
      </c>
      <c r="K544" s="193">
        <f t="shared" si="43"/>
        <v>0</v>
      </c>
      <c r="L544" s="193">
        <f t="shared" si="43"/>
        <v>254409.7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3521892.9000000004</v>
      </c>
      <c r="G545" s="89">
        <f t="shared" ref="G545:L545" si="44">G524+G529+G534+G539+G544</f>
        <v>1493022.96</v>
      </c>
      <c r="H545" s="89">
        <f t="shared" si="44"/>
        <v>1670335.62</v>
      </c>
      <c r="I545" s="89">
        <f t="shared" si="44"/>
        <v>23831.05</v>
      </c>
      <c r="J545" s="89">
        <f t="shared" si="44"/>
        <v>32960.99</v>
      </c>
      <c r="K545" s="89">
        <f t="shared" si="44"/>
        <v>8443.6800000000021</v>
      </c>
      <c r="L545" s="89">
        <f t="shared" si="44"/>
        <v>6750487.2000000002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1574025.04</v>
      </c>
      <c r="G549" s="87">
        <f>L526</f>
        <v>783588.05</v>
      </c>
      <c r="H549" s="87">
        <f>L531</f>
        <v>40807.370000000003</v>
      </c>
      <c r="I549" s="87">
        <f>L536</f>
        <v>4080.85</v>
      </c>
      <c r="J549" s="87">
        <f>L541</f>
        <v>84803.24</v>
      </c>
      <c r="K549" s="87">
        <f>SUM(F549:J549)</f>
        <v>2487304.5500000003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1512088.12</v>
      </c>
      <c r="G550" s="87">
        <f>L527</f>
        <v>191456.39</v>
      </c>
      <c r="H550" s="87">
        <f>L532</f>
        <v>40807.370000000003</v>
      </c>
      <c r="I550" s="87">
        <f>L537</f>
        <v>4080.85</v>
      </c>
      <c r="J550" s="87">
        <f>L542</f>
        <v>84803.24</v>
      </c>
      <c r="K550" s="87">
        <f>SUM(F550:J550)</f>
        <v>1833235.9700000004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2108378.8899999997</v>
      </c>
      <c r="G551" s="87">
        <f>L528</f>
        <v>191876.38000000003</v>
      </c>
      <c r="H551" s="87">
        <f>L533</f>
        <v>40807.339999999997</v>
      </c>
      <c r="I551" s="87">
        <f>L538</f>
        <v>4080.85</v>
      </c>
      <c r="J551" s="87">
        <f>L543</f>
        <v>84803.22</v>
      </c>
      <c r="K551" s="87">
        <f>SUM(F551:J551)</f>
        <v>2429946.6799999997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5">SUM(F549:F551)</f>
        <v>5194492.05</v>
      </c>
      <c r="G552" s="89">
        <f t="shared" si="45"/>
        <v>1166920.82</v>
      </c>
      <c r="H552" s="89">
        <f t="shared" si="45"/>
        <v>122422.08</v>
      </c>
      <c r="I552" s="89">
        <f t="shared" si="45"/>
        <v>12242.55</v>
      </c>
      <c r="J552" s="89">
        <f t="shared" si="45"/>
        <v>254409.7</v>
      </c>
      <c r="K552" s="89">
        <f t="shared" si="45"/>
        <v>6750487.2000000002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>
        <f>35672.8</f>
        <v>35672.800000000003</v>
      </c>
      <c r="G557" s="18">
        <f>17781+1854+2728.97+5589.93+63.13</f>
        <v>28017.030000000002</v>
      </c>
      <c r="H557" s="18">
        <v>0</v>
      </c>
      <c r="I557" s="18">
        <v>0</v>
      </c>
      <c r="J557" s="18">
        <v>0</v>
      </c>
      <c r="K557" s="18">
        <f>6124+2077.64</f>
        <v>8201.64</v>
      </c>
      <c r="L557" s="88">
        <f>SUM(F557:K557)</f>
        <v>71891.47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6">SUM(F557:F559)</f>
        <v>35672.800000000003</v>
      </c>
      <c r="G560" s="108">
        <f t="shared" si="46"/>
        <v>28017.030000000002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8201.64</v>
      </c>
      <c r="L560" s="89">
        <f t="shared" si="46"/>
        <v>71891.47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0</v>
      </c>
      <c r="G562" s="18">
        <v>0</v>
      </c>
      <c r="H562" s="18">
        <v>0</v>
      </c>
      <c r="I562" s="18">
        <v>8926.25</v>
      </c>
      <c r="J562" s="18">
        <v>0</v>
      </c>
      <c r="K562" s="18">
        <v>0</v>
      </c>
      <c r="L562" s="88">
        <f>SUM(F562:K562)</f>
        <v>8926.25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0</v>
      </c>
      <c r="G563" s="18">
        <v>0</v>
      </c>
      <c r="H563" s="18">
        <v>0</v>
      </c>
      <c r="I563" s="18">
        <v>8926.25</v>
      </c>
      <c r="J563" s="18">
        <v>0</v>
      </c>
      <c r="K563" s="18">
        <v>0</v>
      </c>
      <c r="L563" s="88">
        <f>SUM(F563:K563)</f>
        <v>8926.25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0</v>
      </c>
      <c r="I565" s="89">
        <f t="shared" si="47"/>
        <v>17852.5</v>
      </c>
      <c r="J565" s="89">
        <f t="shared" si="47"/>
        <v>0</v>
      </c>
      <c r="K565" s="89">
        <f t="shared" si="47"/>
        <v>0</v>
      </c>
      <c r="L565" s="89">
        <f t="shared" si="47"/>
        <v>17852.5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f>70070.94</f>
        <v>70070.94</v>
      </c>
      <c r="G567" s="18">
        <f>20161.14</f>
        <v>20161.14</v>
      </c>
      <c r="H567" s="18">
        <v>0</v>
      </c>
      <c r="I567" s="18">
        <f>1980.76</f>
        <v>1980.76</v>
      </c>
      <c r="J567" s="18">
        <v>0</v>
      </c>
      <c r="K567" s="18">
        <v>0</v>
      </c>
      <c r="L567" s="88">
        <f>SUM(F567:K567)</f>
        <v>92212.84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89074.1</v>
      </c>
      <c r="G568" s="18">
        <v>25628.82</v>
      </c>
      <c r="H568" s="18">
        <v>0</v>
      </c>
      <c r="I568" s="18">
        <f>776.4+390.16</f>
        <v>1166.56</v>
      </c>
      <c r="J568" s="18">
        <v>0</v>
      </c>
      <c r="K568" s="18">
        <v>0</v>
      </c>
      <c r="L568" s="88">
        <f>SUM(F568:K568)</f>
        <v>115869.48000000001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159145.04</v>
      </c>
      <c r="G570" s="193">
        <f t="shared" ref="G570:L570" si="48">SUM(G567:G569)</f>
        <v>45789.96</v>
      </c>
      <c r="H570" s="193">
        <f t="shared" si="48"/>
        <v>0</v>
      </c>
      <c r="I570" s="193">
        <f t="shared" si="48"/>
        <v>3147.3199999999997</v>
      </c>
      <c r="J570" s="193">
        <f t="shared" si="48"/>
        <v>0</v>
      </c>
      <c r="K570" s="193">
        <f t="shared" si="48"/>
        <v>0</v>
      </c>
      <c r="L570" s="193">
        <f t="shared" si="48"/>
        <v>208082.32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194817.84000000003</v>
      </c>
      <c r="G571" s="89">
        <f t="shared" ref="G571:L571" si="49">G560+G565+G570</f>
        <v>73806.990000000005</v>
      </c>
      <c r="H571" s="89">
        <f t="shared" si="49"/>
        <v>0</v>
      </c>
      <c r="I571" s="89">
        <f t="shared" si="49"/>
        <v>20999.82</v>
      </c>
      <c r="J571" s="89">
        <f t="shared" si="49"/>
        <v>0</v>
      </c>
      <c r="K571" s="89">
        <f t="shared" si="49"/>
        <v>8201.64</v>
      </c>
      <c r="L571" s="89">
        <f t="shared" si="49"/>
        <v>297826.29000000004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50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v>0</v>
      </c>
      <c r="I577" s="87">
        <f t="shared" si="50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50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0</v>
      </c>
      <c r="G579" s="18">
        <v>0</v>
      </c>
      <c r="H579" s="18">
        <v>0</v>
      </c>
      <c r="I579" s="87">
        <f t="shared" si="50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50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v>0</v>
      </c>
      <c r="I581" s="87">
        <f t="shared" si="50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97590.86</v>
      </c>
      <c r="G582" s="18">
        <v>169598.73</v>
      </c>
      <c r="H582" s="18">
        <v>545553.57999999996</v>
      </c>
      <c r="I582" s="87">
        <f t="shared" si="50"/>
        <v>812743.16999999993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50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>
        <v>0</v>
      </c>
      <c r="G584" s="18">
        <v>0</v>
      </c>
      <c r="H584" s="18">
        <v>92457.48</v>
      </c>
      <c r="I584" s="87">
        <f t="shared" si="50"/>
        <v>92457.48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50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>
        <v>0</v>
      </c>
      <c r="I586" s="87">
        <f t="shared" si="50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50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L208-H592-H593-H594-H595-H596-H597</f>
        <v>154271.64000000001</v>
      </c>
      <c r="I591" s="18">
        <f>L226+L306-I592-I593-I594-I595-I596-I597</f>
        <v>154271.62999999995</v>
      </c>
      <c r="J591" s="18">
        <f>L244+L325-J592-J593-J594-J595-J596-J597</f>
        <v>47468.14999999998</v>
      </c>
      <c r="K591" s="104">
        <f t="shared" ref="K591:K597" si="51">SUM(H591:J591)</f>
        <v>356011.41999999993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L541</f>
        <v>84803.24</v>
      </c>
      <c r="I592" s="18">
        <f>L542</f>
        <v>84803.24</v>
      </c>
      <c r="J592" s="18">
        <f>L543</f>
        <v>84803.22</v>
      </c>
      <c r="K592" s="104">
        <f t="shared" si="51"/>
        <v>254409.7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f>8204.4+937.92</f>
        <v>9142.32</v>
      </c>
      <c r="K593" s="104">
        <f t="shared" si="51"/>
        <v>9142.32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0</v>
      </c>
      <c r="I594" s="18">
        <v>6278.74</v>
      </c>
      <c r="J594" s="18">
        <f>18138.57+12511.58</f>
        <v>30650.15</v>
      </c>
      <c r="K594" s="104">
        <f t="shared" si="51"/>
        <v>36928.89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853.36</v>
      </c>
      <c r="I595" s="18">
        <v>5546.84</v>
      </c>
      <c r="J595" s="18">
        <v>11520.37</v>
      </c>
      <c r="K595" s="104">
        <f t="shared" si="51"/>
        <v>17920.57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>
        <v>156042.89000000001</v>
      </c>
      <c r="I597" s="18">
        <v>156042.89000000001</v>
      </c>
      <c r="J597" s="18">
        <v>48013.2</v>
      </c>
      <c r="K597" s="104">
        <f t="shared" si="51"/>
        <v>360098.98000000004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395971.13</v>
      </c>
      <c r="I598" s="108">
        <f>SUM(I591:I597)</f>
        <v>406943.33999999997</v>
      </c>
      <c r="J598" s="108">
        <f>SUM(J591:J597)</f>
        <v>231597.40999999997</v>
      </c>
      <c r="K598" s="108">
        <f>SUM(K591:K597)</f>
        <v>1034511.8799999999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J211+J290</f>
        <v>148729.80000000002</v>
      </c>
      <c r="I604" s="18">
        <f>J229+J309</f>
        <v>168061.34</v>
      </c>
      <c r="J604" s="18">
        <f>J247+J328</f>
        <v>192102.38</v>
      </c>
      <c r="K604" s="104">
        <f>SUM(H604:J604)</f>
        <v>508893.52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148729.80000000002</v>
      </c>
      <c r="I605" s="108">
        <f>SUM(I602:I604)</f>
        <v>168061.34</v>
      </c>
      <c r="J605" s="108">
        <f>SUM(J602:J604)</f>
        <v>192102.38</v>
      </c>
      <c r="K605" s="108">
        <f>SUM(K602:K604)</f>
        <v>508893.52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8400</v>
      </c>
      <c r="G613" s="18">
        <v>1977.1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10377.1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2">SUM(F611:F613)</f>
        <v>8400</v>
      </c>
      <c r="G614" s="108">
        <f t="shared" si="52"/>
        <v>1977.1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10377.1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2744110.53</v>
      </c>
      <c r="H617" s="109">
        <f>SUM(F52)</f>
        <v>2744110.53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206573.3</v>
      </c>
      <c r="H618" s="109">
        <f>SUM(G52)</f>
        <v>206573.2999999999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58624.39</v>
      </c>
      <c r="H619" s="109">
        <f>SUM(H52)</f>
        <v>58624.39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1564058.84</v>
      </c>
      <c r="H621" s="109">
        <f>SUM(J52)</f>
        <v>1564058.84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893242.82</v>
      </c>
      <c r="H622" s="109">
        <f>F476</f>
        <v>893242.8200000003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171764.89999999991</v>
      </c>
      <c r="H623" s="109">
        <f>G476</f>
        <v>171764.89999999991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1564058.84</v>
      </c>
      <c r="H626" s="109">
        <f>J476</f>
        <v>1564058.84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26597875.059999999</v>
      </c>
      <c r="H627" s="104">
        <f>SUM(F468)</f>
        <v>26597875.059999999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719253.97</v>
      </c>
      <c r="H628" s="104">
        <f>SUM(G468)</f>
        <v>719253.97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395359.1</v>
      </c>
      <c r="H629" s="104">
        <f>SUM(H468)</f>
        <v>395359.1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96203.55</v>
      </c>
      <c r="H631" s="104">
        <f>SUM(J468)</f>
        <v>96203.55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26768041.59</v>
      </c>
      <c r="H632" s="104">
        <f>SUM(F472)</f>
        <v>26768041.59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395359.1</v>
      </c>
      <c r="H633" s="104">
        <f>SUM(H472)</f>
        <v>395359.1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316783.69</v>
      </c>
      <c r="H634" s="104">
        <f>I369</f>
        <v>316783.69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675440.69000000006</v>
      </c>
      <c r="H635" s="104">
        <f>SUM(G472)</f>
        <v>675440.69000000006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96203.55</v>
      </c>
      <c r="H637" s="164">
        <f>SUM(J468)</f>
        <v>96203.55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75833.510000000009</v>
      </c>
      <c r="H638" s="164">
        <f>SUM(J472)</f>
        <v>75833.510000000009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1198571.3500000001</v>
      </c>
      <c r="H639" s="104">
        <f>SUM(F461)</f>
        <v>1198571.3500000001</v>
      </c>
      <c r="I639" s="140" t="s">
        <v>856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365487.49</v>
      </c>
      <c r="H640" s="104">
        <f>SUM(G461)</f>
        <v>365487.49</v>
      </c>
      <c r="I640" s="140" t="s">
        <v>857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1564058.84</v>
      </c>
      <c r="H642" s="104">
        <f>SUM(I461)</f>
        <v>1564058.84</v>
      </c>
      <c r="I642" s="140" t="s">
        <v>859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27773.55</v>
      </c>
      <c r="H644" s="104">
        <f>H408</f>
        <v>27773.55</v>
      </c>
      <c r="I644" s="140" t="s">
        <v>480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68430</v>
      </c>
      <c r="H645" s="104">
        <f>G408</f>
        <v>68430</v>
      </c>
      <c r="I645" s="140" t="s">
        <v>481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96203.55</v>
      </c>
      <c r="H646" s="104">
        <f>L408</f>
        <v>96203.55</v>
      </c>
      <c r="I646" s="140" t="s">
        <v>477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1034511.8799999999</v>
      </c>
      <c r="H647" s="104">
        <f>L208+L226+L244</f>
        <v>1034511.8799999999</v>
      </c>
      <c r="I647" s="140" t="s">
        <v>396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508893.52</v>
      </c>
      <c r="H648" s="104">
        <f>(J257+J338)-(J255+J336)</f>
        <v>508893.51999999996</v>
      </c>
      <c r="I648" s="140" t="s">
        <v>702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395971.13</v>
      </c>
      <c r="H649" s="104">
        <f>H598</f>
        <v>395971.13</v>
      </c>
      <c r="I649" s="140" t="s">
        <v>388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406943.33999999997</v>
      </c>
      <c r="H650" s="104">
        <f>I598</f>
        <v>406943.33999999997</v>
      </c>
      <c r="I650" s="140" t="s">
        <v>389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231597.40999999997</v>
      </c>
      <c r="H651" s="104">
        <f>J598</f>
        <v>231597.40999999997</v>
      </c>
      <c r="I651" s="140" t="s">
        <v>390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68430</v>
      </c>
      <c r="H655" s="104">
        <f>K266+K347</f>
        <v>68430</v>
      </c>
      <c r="I655" s="140" t="s">
        <v>400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7751442.6399999997</v>
      </c>
      <c r="G660" s="19">
        <f>(L229+L309+L359)</f>
        <v>8009863.2200000007</v>
      </c>
      <c r="H660" s="19">
        <f>(L247+L328+L360)</f>
        <v>10888061.770000001</v>
      </c>
      <c r="I660" s="19">
        <f>SUM(F660:H660)</f>
        <v>26649367.630000003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126183.12706855014</v>
      </c>
      <c r="G661" s="19">
        <f>(L359/IF(SUM(L358:L360)=0,1,SUM(L358:L360))*(SUM(G97:G110)))</f>
        <v>169736.91036613885</v>
      </c>
      <c r="H661" s="19">
        <f>(L360/IF(SUM(L358:L360)=0,1,SUM(L358:L360))*(SUM(G97:G110)))</f>
        <v>310425.70256531099</v>
      </c>
      <c r="I661" s="19">
        <f>SUM(F661:H661)</f>
        <v>606345.74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352005.11</v>
      </c>
      <c r="G662" s="19">
        <f>(L226+L306)-(J226+J306)</f>
        <v>359977.31999999995</v>
      </c>
      <c r="H662" s="19">
        <f>(L244+L325)-(J244+J325)</f>
        <v>214779.55</v>
      </c>
      <c r="I662" s="19">
        <f>SUM(F662:H662)</f>
        <v>926761.98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246320.66000000003</v>
      </c>
      <c r="G663" s="199">
        <f>SUM(G575:G587)+SUM(I602:I604)+L612</f>
        <v>337660.07</v>
      </c>
      <c r="H663" s="199">
        <f>SUM(H575:H587)+SUM(J602:J604)+L613</f>
        <v>840490.53999999992</v>
      </c>
      <c r="I663" s="19">
        <f>SUM(F663:H663)</f>
        <v>1424471.27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7026933.7429314498</v>
      </c>
      <c r="G664" s="19">
        <f>G660-SUM(G661:G663)</f>
        <v>7142488.9196338616</v>
      </c>
      <c r="H664" s="19">
        <f>H660-SUM(H661:H663)</f>
        <v>9522365.977434691</v>
      </c>
      <c r="I664" s="19">
        <f>I660-SUM(I661:I663)</f>
        <v>23691788.640000001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468.96</v>
      </c>
      <c r="G665" s="248">
        <v>505.64</v>
      </c>
      <c r="H665" s="248">
        <v>627.57000000000005</v>
      </c>
      <c r="I665" s="19">
        <f>SUM(F665:H665)</f>
        <v>1602.17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14984.08</v>
      </c>
      <c r="G667" s="19">
        <f>ROUND(G664/G665,2)</f>
        <v>14125.64</v>
      </c>
      <c r="H667" s="19">
        <f>ROUND(H664/H665,2)</f>
        <v>15173.39</v>
      </c>
      <c r="I667" s="19">
        <f>ROUND(I664/I665,2)</f>
        <v>14787.31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-16.329999999999998</v>
      </c>
      <c r="I670" s="19">
        <f>SUM(F670:H670)</f>
        <v>-16.329999999999998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14984.08</v>
      </c>
      <c r="G672" s="19">
        <f>ROUND((G664+G669)/(G665+G670),2)</f>
        <v>14125.64</v>
      </c>
      <c r="H672" s="19">
        <f>ROUND((H664+H669)/(H665+H670),2)</f>
        <v>15578.77</v>
      </c>
      <c r="I672" s="19">
        <f>ROUND((I664+I669)/(I665+I670),2)</f>
        <v>14939.58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BOW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7356356.4199999999</v>
      </c>
      <c r="C9" s="229">
        <f>'DOE25'!G197+'DOE25'!G215+'DOE25'!G233+'DOE25'!G276+'DOE25'!G295+'DOE25'!G314</f>
        <v>3468790.75</v>
      </c>
    </row>
    <row r="10" spans="1:3" x14ac:dyDescent="0.2">
      <c r="A10" t="s">
        <v>778</v>
      </c>
      <c r="B10" s="240">
        <f>7356356.42-321618.86</f>
        <v>7034737.5599999996</v>
      </c>
      <c r="C10" s="240">
        <f>3468790.75-143794.82</f>
        <v>3324995.93</v>
      </c>
    </row>
    <row r="11" spans="1:3" x14ac:dyDescent="0.2">
      <c r="A11" t="s">
        <v>779</v>
      </c>
      <c r="B11" s="240">
        <v>27543.68</v>
      </c>
      <c r="C11" s="240">
        <v>13589.12</v>
      </c>
    </row>
    <row r="12" spans="1:3" x14ac:dyDescent="0.2">
      <c r="A12" t="s">
        <v>780</v>
      </c>
      <c r="B12" s="240">
        <v>294075.18</v>
      </c>
      <c r="C12" s="240">
        <v>130205.7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7356356.419999999</v>
      </c>
      <c r="C13" s="231">
        <f>SUM(C10:C12)</f>
        <v>3468790.7500000005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2910320.9000000004</v>
      </c>
      <c r="C18" s="229">
        <f>'DOE25'!G198+'DOE25'!G216+'DOE25'!G234+'DOE25'!G277+'DOE25'!G296+'DOE25'!G315</f>
        <v>1232234.8299999998</v>
      </c>
    </row>
    <row r="19" spans="1:3" x14ac:dyDescent="0.2">
      <c r="A19" t="s">
        <v>778</v>
      </c>
      <c r="B19" s="240">
        <v>982925</v>
      </c>
      <c r="C19" s="240">
        <v>470361.22</v>
      </c>
    </row>
    <row r="20" spans="1:3" x14ac:dyDescent="0.2">
      <c r="A20" t="s">
        <v>779</v>
      </c>
      <c r="B20" s="240">
        <f>2910320.9-982925-88371.78</f>
        <v>1839024.1199999999</v>
      </c>
      <c r="C20" s="240">
        <f>1232234.83-470361.22-42823.72</f>
        <v>719049.89000000013</v>
      </c>
    </row>
    <row r="21" spans="1:3" x14ac:dyDescent="0.2">
      <c r="A21" t="s">
        <v>780</v>
      </c>
      <c r="B21" s="240">
        <v>88371.78</v>
      </c>
      <c r="C21" s="240">
        <v>43823.72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2910320.9</v>
      </c>
      <c r="C22" s="231">
        <f>SUM(C19:C21)</f>
        <v>1233234.83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>
        <v>0</v>
      </c>
      <c r="C28" s="240">
        <v>0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371758.65</v>
      </c>
      <c r="C36" s="235">
        <f>'DOE25'!G200+'DOE25'!G218+'DOE25'!G236+'DOE25'!G279+'DOE25'!G298+'DOE25'!G317</f>
        <v>110479.96</v>
      </c>
    </row>
    <row r="37" spans="1:3" x14ac:dyDescent="0.2">
      <c r="A37" t="s">
        <v>778</v>
      </c>
      <c r="B37" s="240">
        <v>195879.33</v>
      </c>
      <c r="C37" s="240">
        <v>60763.98</v>
      </c>
    </row>
    <row r="38" spans="1:3" x14ac:dyDescent="0.2">
      <c r="A38" t="s">
        <v>779</v>
      </c>
      <c r="B38" s="240">
        <v>107150.7</v>
      </c>
      <c r="C38" s="240">
        <v>15093.53</v>
      </c>
    </row>
    <row r="39" spans="1:3" x14ac:dyDescent="0.2">
      <c r="A39" t="s">
        <v>780</v>
      </c>
      <c r="B39" s="240">
        <v>68728.62</v>
      </c>
      <c r="C39" s="240">
        <v>34622.449999999997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371758.64999999997</v>
      </c>
      <c r="C40" s="231">
        <f>SUM(C37:C39)</f>
        <v>110479.96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BOW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17179935.41</v>
      </c>
      <c r="D5" s="20">
        <f>SUM('DOE25'!L197:L200)+SUM('DOE25'!L215:L218)+SUM('DOE25'!L233:L236)-F5-G5</f>
        <v>17037595.949999999</v>
      </c>
      <c r="E5" s="243"/>
      <c r="F5" s="255">
        <f>SUM('DOE25'!J197:J200)+SUM('DOE25'!J215:J218)+SUM('DOE25'!J233:J236)</f>
        <v>111517.04999999999</v>
      </c>
      <c r="G5" s="53">
        <f>SUM('DOE25'!K197:K200)+SUM('DOE25'!K215:K218)+SUM('DOE25'!K233:K236)</f>
        <v>30822.41</v>
      </c>
      <c r="H5" s="259"/>
    </row>
    <row r="6" spans="1:9" x14ac:dyDescent="0.2">
      <c r="A6" s="32">
        <v>2100</v>
      </c>
      <c r="B6" t="s">
        <v>800</v>
      </c>
      <c r="C6" s="245">
        <f t="shared" si="0"/>
        <v>2155303.71</v>
      </c>
      <c r="D6" s="20">
        <f>'DOE25'!L202+'DOE25'!L220+'DOE25'!L238-F6-G6</f>
        <v>2146442.61</v>
      </c>
      <c r="E6" s="243"/>
      <c r="F6" s="255">
        <f>'DOE25'!J202+'DOE25'!J220+'DOE25'!J238</f>
        <v>8101.1</v>
      </c>
      <c r="G6" s="53">
        <f>'DOE25'!K202+'DOE25'!K220+'DOE25'!K238</f>
        <v>760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1088555.56</v>
      </c>
      <c r="D7" s="20">
        <f>'DOE25'!L203+'DOE25'!L221+'DOE25'!L239-F7-G7</f>
        <v>820621.74</v>
      </c>
      <c r="E7" s="243"/>
      <c r="F7" s="255">
        <f>'DOE25'!J203+'DOE25'!J221+'DOE25'!J239</f>
        <v>267290.82</v>
      </c>
      <c r="G7" s="53">
        <f>'DOE25'!K203+'DOE25'!K221+'DOE25'!K239</f>
        <v>643</v>
      </c>
      <c r="H7" s="259"/>
    </row>
    <row r="8" spans="1:9" x14ac:dyDescent="0.2">
      <c r="A8" s="32">
        <v>2300</v>
      </c>
      <c r="B8" t="s">
        <v>801</v>
      </c>
      <c r="C8" s="245">
        <f t="shared" si="0"/>
        <v>582897.61</v>
      </c>
      <c r="D8" s="243"/>
      <c r="E8" s="20">
        <f>'DOE25'!L204+'DOE25'!L222+'DOE25'!L240-F8-G8-D9-D11</f>
        <v>526132.6</v>
      </c>
      <c r="F8" s="255">
        <f>'DOE25'!J204+'DOE25'!J222+'DOE25'!J240</f>
        <v>0</v>
      </c>
      <c r="G8" s="53">
        <f>'DOE25'!K204+'DOE25'!K222+'DOE25'!K240</f>
        <v>56765.009999999995</v>
      </c>
      <c r="H8" s="259"/>
    </row>
    <row r="9" spans="1:9" x14ac:dyDescent="0.2">
      <c r="A9" s="32">
        <v>2310</v>
      </c>
      <c r="B9" t="s">
        <v>817</v>
      </c>
      <c r="C9" s="245">
        <f t="shared" si="0"/>
        <v>44066.14</v>
      </c>
      <c r="D9" s="244">
        <f>44066.14</f>
        <v>44066.14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12080</v>
      </c>
      <c r="D10" s="243"/>
      <c r="E10" s="244">
        <v>12080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226260</v>
      </c>
      <c r="D11" s="244">
        <v>226260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1334287.71</v>
      </c>
      <c r="D12" s="20">
        <f>'DOE25'!L205+'DOE25'!L223+'DOE25'!L241-F12-G12</f>
        <v>1320091.8500000001</v>
      </c>
      <c r="E12" s="243"/>
      <c r="F12" s="255">
        <f>'DOE25'!J205+'DOE25'!J223+'DOE25'!J241</f>
        <v>717.98</v>
      </c>
      <c r="G12" s="53">
        <f>'DOE25'!K205+'DOE25'!K223+'DOE25'!K241</f>
        <v>13477.880000000001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1932749.8199999998</v>
      </c>
      <c r="D14" s="20">
        <f>'DOE25'!L207+'DOE25'!L225+'DOE25'!L243-F14-G14</f>
        <v>1926636.0699999998</v>
      </c>
      <c r="E14" s="243"/>
      <c r="F14" s="255">
        <f>'DOE25'!J207+'DOE25'!J225+'DOE25'!J243</f>
        <v>6113.75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1034511.8799999999</v>
      </c>
      <c r="D15" s="20">
        <f>'DOE25'!L208+'DOE25'!L226+'DOE25'!L244-F15-G15</f>
        <v>916530.65999999992</v>
      </c>
      <c r="E15" s="243"/>
      <c r="F15" s="255">
        <f>'DOE25'!J208+'DOE25'!J226+'DOE25'!J244</f>
        <v>110749.9</v>
      </c>
      <c r="G15" s="53">
        <f>'DOE25'!K208+'DOE25'!K226+'DOE25'!K244</f>
        <v>7231.3200000000006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1121043.75</v>
      </c>
      <c r="D25" s="243"/>
      <c r="E25" s="243"/>
      <c r="F25" s="258"/>
      <c r="G25" s="256"/>
      <c r="H25" s="257">
        <f>'DOE25'!L260+'DOE25'!L261+'DOE25'!L341+'DOE25'!L342</f>
        <v>1121043.75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395879.45000000007</v>
      </c>
      <c r="D29" s="20">
        <f>'DOE25'!L358+'DOE25'!L359+'DOE25'!L360-'DOE25'!I367-F29-G29</f>
        <v>375649.98000000004</v>
      </c>
      <c r="E29" s="243"/>
      <c r="F29" s="255">
        <f>'DOE25'!J358+'DOE25'!J359+'DOE25'!J360</f>
        <v>18298.510000000002</v>
      </c>
      <c r="G29" s="53">
        <f>'DOE25'!K358+'DOE25'!K359+'DOE25'!K360</f>
        <v>1930.96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395359.1</v>
      </c>
      <c r="D31" s="20">
        <f>'DOE25'!L290+'DOE25'!L309+'DOE25'!L328+'DOE25'!L333+'DOE25'!L334+'DOE25'!L335-F31-G31</f>
        <v>374680.77</v>
      </c>
      <c r="E31" s="243"/>
      <c r="F31" s="255">
        <f>'DOE25'!J290+'DOE25'!J309+'DOE25'!J328+'DOE25'!J333+'DOE25'!J334+'DOE25'!J335</f>
        <v>4402.92</v>
      </c>
      <c r="G31" s="53">
        <f>'DOE25'!K290+'DOE25'!K309+'DOE25'!K328+'DOE25'!K333+'DOE25'!K334+'DOE25'!K335</f>
        <v>16275.410000000002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25188575.77</v>
      </c>
      <c r="E33" s="246">
        <f>SUM(E5:E31)</f>
        <v>538212.6</v>
      </c>
      <c r="F33" s="246">
        <f>SUM(F5:F31)</f>
        <v>527192.03</v>
      </c>
      <c r="G33" s="246">
        <f>SUM(G5:G31)</f>
        <v>127905.99000000002</v>
      </c>
      <c r="H33" s="246">
        <f>SUM(H5:H31)</f>
        <v>1121043.75</v>
      </c>
    </row>
    <row r="35" spans="2:8" ht="12" thickBot="1" x14ac:dyDescent="0.25">
      <c r="B35" s="253" t="s">
        <v>846</v>
      </c>
      <c r="D35" s="254">
        <f>E33</f>
        <v>538212.6</v>
      </c>
      <c r="E35" s="249"/>
    </row>
    <row r="36" spans="2:8" ht="12" thickTop="1" x14ac:dyDescent="0.2">
      <c r="B36" t="s">
        <v>814</v>
      </c>
      <c r="D36" s="20">
        <f>D33</f>
        <v>25188575.77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BOW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2265608.75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1564058.84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346800</v>
      </c>
      <c r="D11" s="95">
        <f>'DOE25'!G12</f>
        <v>199531.15999999997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58624.39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72584.28</v>
      </c>
      <c r="D13" s="95">
        <f>'DOE25'!G14</f>
        <v>7042.14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59117.5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2744110.53</v>
      </c>
      <c r="D18" s="41">
        <f>SUM(D8:D17)</f>
        <v>206573.3</v>
      </c>
      <c r="E18" s="41">
        <f>SUM(E8:E17)</f>
        <v>58624.39</v>
      </c>
      <c r="F18" s="41">
        <f>SUM(F8:F17)</f>
        <v>0</v>
      </c>
      <c r="G18" s="41">
        <f>SUM(G8:G17)</f>
        <v>1564058.84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108717.8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48776.229999999996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1213433.31</v>
      </c>
      <c r="D23" s="95">
        <f>'DOE25'!G24</f>
        <v>8629</v>
      </c>
      <c r="E23" s="95">
        <f>'DOE25'!H24</f>
        <v>9848.16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414429.91</v>
      </c>
      <c r="D24" s="95">
        <f>'DOE25'!G25</f>
        <v>7931.46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114286.68999999999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18247.939999999999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1850867.71</v>
      </c>
      <c r="D31" s="41">
        <f>SUM(D21:D30)</f>
        <v>34808.399999999994</v>
      </c>
      <c r="E31" s="41">
        <f>SUM(E21:E30)</f>
        <v>58624.39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346800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171764.89999999991</v>
      </c>
      <c r="E47" s="95">
        <f>'DOE25'!H48</f>
        <v>0</v>
      </c>
      <c r="F47" s="95">
        <f>'DOE25'!I48</f>
        <v>0</v>
      </c>
      <c r="G47" s="95">
        <f>'DOE25'!J48</f>
        <v>1564058.84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546442.81999999995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893242.82</v>
      </c>
      <c r="D50" s="41">
        <f>SUM(D34:D49)</f>
        <v>171764.89999999991</v>
      </c>
      <c r="E50" s="41">
        <f>SUM(E34:E49)</f>
        <v>0</v>
      </c>
      <c r="F50" s="41">
        <f>SUM(F34:F49)</f>
        <v>0</v>
      </c>
      <c r="G50" s="41">
        <f>SUM(G34:G49)</f>
        <v>1564058.84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2744110.53</v>
      </c>
      <c r="D51" s="41">
        <f>D50+D31</f>
        <v>206573.2999999999</v>
      </c>
      <c r="E51" s="41">
        <f>E50+E31</f>
        <v>58624.39</v>
      </c>
      <c r="F51" s="41">
        <f>F50+F31</f>
        <v>0</v>
      </c>
      <c r="G51" s="41">
        <f>G50+G31</f>
        <v>1564058.84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17461017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2253764.4500000002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4458.08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27773.55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606345.74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493000.87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2751223.4000000004</v>
      </c>
      <c r="D62" s="130">
        <f>SUM(D57:D61)</f>
        <v>606345.74</v>
      </c>
      <c r="E62" s="130">
        <f>SUM(E57:E61)</f>
        <v>0</v>
      </c>
      <c r="F62" s="130">
        <f>SUM(F57:F61)</f>
        <v>0</v>
      </c>
      <c r="G62" s="130">
        <f>SUM(G57:G61)</f>
        <v>27773.55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20212240.399999999</v>
      </c>
      <c r="D63" s="22">
        <f>D56+D62</f>
        <v>606345.74</v>
      </c>
      <c r="E63" s="22">
        <f>E56+E62</f>
        <v>0</v>
      </c>
      <c r="F63" s="22">
        <f>F56+F62</f>
        <v>0</v>
      </c>
      <c r="G63" s="22">
        <f>G56+G62</f>
        <v>27773.55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3367619.59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2187298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5747.58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5560665.1699999999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323549.28999999998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139275.18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6790.8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30193.97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469615.26999999996</v>
      </c>
      <c r="D78" s="130">
        <f>SUM(D72:D77)</f>
        <v>30193.97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6030280.4399999995</v>
      </c>
      <c r="D81" s="130">
        <f>SUM(D79:D80)+D78+D70</f>
        <v>30193.97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319200.71000000002</v>
      </c>
      <c r="D88" s="95">
        <f>SUM('DOE25'!G153:G161)</f>
        <v>82714.259999999995</v>
      </c>
      <c r="E88" s="95">
        <f>SUM('DOE25'!H153:H161)</f>
        <v>395359.1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319200.71000000002</v>
      </c>
      <c r="D91" s="131">
        <f>SUM(D85:D90)</f>
        <v>82714.259999999995</v>
      </c>
      <c r="E91" s="131">
        <f>SUM(E85:E90)</f>
        <v>395359.1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68430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36153.51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36153.51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68430</v>
      </c>
    </row>
    <row r="104" spans="1:7" ht="12.75" thickTop="1" thickBot="1" x14ac:dyDescent="0.25">
      <c r="A104" s="33" t="s">
        <v>764</v>
      </c>
      <c r="C104" s="86">
        <f>C63+C81+C91+C103</f>
        <v>26597875.059999999</v>
      </c>
      <c r="D104" s="86">
        <f>D63+D81+D91+D103</f>
        <v>719253.97</v>
      </c>
      <c r="E104" s="86">
        <f>E63+E81+E91+E103</f>
        <v>395359.1</v>
      </c>
      <c r="F104" s="86">
        <f>F63+F81+F91+F103</f>
        <v>0</v>
      </c>
      <c r="G104" s="86">
        <f>G63+G81+G103</f>
        <v>96203.55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11242969.300000001</v>
      </c>
      <c r="D109" s="24" t="s">
        <v>288</v>
      </c>
      <c r="E109" s="95">
        <f>('DOE25'!L276)+('DOE25'!L295)+('DOE25'!L314)</f>
        <v>0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5194355.88</v>
      </c>
      <c r="D110" s="24" t="s">
        <v>288</v>
      </c>
      <c r="E110" s="95">
        <f>('DOE25'!L277)+('DOE25'!L296)+('DOE25'!L315)</f>
        <v>297962.45999999996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92457.48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650152.75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17179935.41</v>
      </c>
      <c r="D115" s="86">
        <f>SUM(D109:D114)</f>
        <v>0</v>
      </c>
      <c r="E115" s="86">
        <f>SUM(E109:E114)</f>
        <v>297962.45999999996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2155303.71</v>
      </c>
      <c r="D118" s="24" t="s">
        <v>288</v>
      </c>
      <c r="E118" s="95">
        <f>+('DOE25'!L281)+('DOE25'!L300)+('DOE25'!L319)</f>
        <v>62091.180000000008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1088555.56</v>
      </c>
      <c r="D119" s="24" t="s">
        <v>288</v>
      </c>
      <c r="E119" s="95">
        <f>+('DOE25'!L282)+('DOE25'!L301)+('DOE25'!L320)</f>
        <v>32305.46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853223.75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1334287.71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1932749.8199999998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1034511.8799999999</v>
      </c>
      <c r="D124" s="24" t="s">
        <v>288</v>
      </c>
      <c r="E124" s="95">
        <f>+('DOE25'!L287)+('DOE25'!L306)+('DOE25'!L325)</f>
        <v>3000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675440.69000000006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8398632.4299999997</v>
      </c>
      <c r="D128" s="86">
        <f>SUM(D118:D127)</f>
        <v>675440.69000000006</v>
      </c>
      <c r="E128" s="86">
        <f>SUM(E118:E127)</f>
        <v>97396.640000000014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1005000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116043.75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75833.510000000009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88071.02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8132.53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-27773.550000000003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1189473.75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75833.510000000009</v>
      </c>
    </row>
    <row r="145" spans="1:9" ht="12.75" thickTop="1" thickBot="1" x14ac:dyDescent="0.25">
      <c r="A145" s="33" t="s">
        <v>244</v>
      </c>
      <c r="C145" s="86">
        <f>(C115+C128+C144)</f>
        <v>26768041.59</v>
      </c>
      <c r="D145" s="86">
        <f>(D115+D128+D144)</f>
        <v>675440.69000000006</v>
      </c>
      <c r="E145" s="86">
        <f>(E115+E128+E144)</f>
        <v>395359.1</v>
      </c>
      <c r="F145" s="86">
        <f>(F115+F128+F144)</f>
        <v>0</v>
      </c>
      <c r="G145" s="86">
        <f>(G115+G128+G144)</f>
        <v>75833.510000000009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7/1/2006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7/1/2026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4027000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4.4000000000000004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2200000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2200000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200000</v>
      </c>
    </row>
    <row r="159" spans="1:9" x14ac:dyDescent="0.2">
      <c r="A159" s="22" t="s">
        <v>35</v>
      </c>
      <c r="B159" s="137">
        <f>'DOE25'!F498</f>
        <v>2000000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2000000</v>
      </c>
    </row>
    <row r="160" spans="1:9" x14ac:dyDescent="0.2">
      <c r="A160" s="22" t="s">
        <v>36</v>
      </c>
      <c r="B160" s="137">
        <f>'DOE25'!F499</f>
        <v>758761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758761</v>
      </c>
    </row>
    <row r="161" spans="1:7" x14ac:dyDescent="0.2">
      <c r="A161" s="22" t="s">
        <v>37</v>
      </c>
      <c r="B161" s="137">
        <f>'DOE25'!F500</f>
        <v>2758761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2758761</v>
      </c>
    </row>
    <row r="162" spans="1:7" x14ac:dyDescent="0.2">
      <c r="A162" s="22" t="s">
        <v>38</v>
      </c>
      <c r="B162" s="137">
        <f>'DOE25'!F501</f>
        <v>200000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200000</v>
      </c>
    </row>
    <row r="163" spans="1:7" x14ac:dyDescent="0.2">
      <c r="A163" s="22" t="s">
        <v>39</v>
      </c>
      <c r="B163" s="137">
        <f>'DOE25'!F502</f>
        <v>84300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84300</v>
      </c>
    </row>
    <row r="164" spans="1:7" x14ac:dyDescent="0.2">
      <c r="A164" s="22" t="s">
        <v>246</v>
      </c>
      <c r="B164" s="137">
        <f>'DOE25'!F503</f>
        <v>284300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284300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BOW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14984</v>
      </c>
    </row>
    <row r="5" spans="1:4" x14ac:dyDescent="0.2">
      <c r="B5" t="s">
        <v>703</v>
      </c>
      <c r="C5" s="179">
        <f>IF('DOE25'!G665+'DOE25'!G670=0,0,ROUND('DOE25'!G672,0))</f>
        <v>14126</v>
      </c>
    </row>
    <row r="6" spans="1:4" x14ac:dyDescent="0.2">
      <c r="B6" t="s">
        <v>62</v>
      </c>
      <c r="C6" s="179">
        <f>IF('DOE25'!H665+'DOE25'!H670=0,0,ROUND('DOE25'!H672,0))</f>
        <v>15579</v>
      </c>
    </row>
    <row r="7" spans="1:4" x14ac:dyDescent="0.2">
      <c r="B7" t="s">
        <v>704</v>
      </c>
      <c r="C7" s="179">
        <f>IF('DOE25'!I665+'DOE25'!I670=0,0,ROUND('DOE25'!I672,0))</f>
        <v>14940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11242969</v>
      </c>
      <c r="D10" s="182">
        <f>ROUND((C10/$C$28)*100,1)</f>
        <v>43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5492318</v>
      </c>
      <c r="D11" s="182">
        <f>ROUND((C11/$C$28)*100,1)</f>
        <v>21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92457</v>
      </c>
      <c r="D12" s="182">
        <f>ROUND((C12/$C$28)*100,1)</f>
        <v>0.4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650153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2217395</v>
      </c>
      <c r="D15" s="182">
        <f t="shared" ref="D15:D27" si="0">ROUND((C15/$C$28)*100,1)</f>
        <v>8.5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1120861</v>
      </c>
      <c r="D16" s="182">
        <f t="shared" si="0"/>
        <v>4.3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853224</v>
      </c>
      <c r="D17" s="182">
        <f t="shared" si="0"/>
        <v>3.3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1334288</v>
      </c>
      <c r="D18" s="182">
        <f t="shared" si="0"/>
        <v>5.0999999999999996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1932750</v>
      </c>
      <c r="D20" s="182">
        <f t="shared" si="0"/>
        <v>7.4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1037512</v>
      </c>
      <c r="D21" s="182">
        <f t="shared" si="0"/>
        <v>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116044</v>
      </c>
      <c r="D25" s="182">
        <f t="shared" si="0"/>
        <v>0.4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69095.260000000009</v>
      </c>
      <c r="D27" s="182">
        <f t="shared" si="0"/>
        <v>0.3</v>
      </c>
    </row>
    <row r="28" spans="1:4" x14ac:dyDescent="0.2">
      <c r="B28" s="187" t="s">
        <v>722</v>
      </c>
      <c r="C28" s="180">
        <f>SUM(C10:C27)</f>
        <v>26159066.260000002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26159066.260000002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1005000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17461017</v>
      </c>
      <c r="D35" s="182">
        <f t="shared" ref="D35:D40" si="1">ROUND((C35/$C$41)*100,1)</f>
        <v>64.400000000000006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2778996.9499999993</v>
      </c>
      <c r="D36" s="182">
        <f t="shared" si="1"/>
        <v>10.3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5554918</v>
      </c>
      <c r="D37" s="182">
        <f t="shared" si="1"/>
        <v>20.5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505557</v>
      </c>
      <c r="D38" s="182">
        <f t="shared" si="1"/>
        <v>1.9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797274</v>
      </c>
      <c r="D39" s="182">
        <f t="shared" si="1"/>
        <v>2.9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27097762.949999999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>BOW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2017-12-05T16:55:01Z</cp:lastPrinted>
  <dcterms:created xsi:type="dcterms:W3CDTF">1997-12-04T19:04:30Z</dcterms:created>
  <dcterms:modified xsi:type="dcterms:W3CDTF">2017-12-06T14:21:22Z</dcterms:modified>
</cp:coreProperties>
</file>