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0" i="12" l="1"/>
  <c r="C12" i="12"/>
  <c r="C11" i="12"/>
  <c r="C21" i="12"/>
  <c r="H604" i="1" l="1"/>
  <c r="G40" i="1"/>
  <c r="G465" i="1"/>
  <c r="H472" i="1" l="1"/>
  <c r="H468" i="1"/>
  <c r="H277" i="1"/>
  <c r="G276" i="1"/>
  <c r="J276" i="1"/>
  <c r="I276" i="1"/>
  <c r="H276" i="1"/>
  <c r="F277" i="1"/>
  <c r="F276" i="1"/>
  <c r="F117" i="1"/>
  <c r="F465" i="1" l="1"/>
  <c r="H207" i="1"/>
  <c r="J205" i="1"/>
  <c r="G203" i="1"/>
  <c r="H204" i="1"/>
  <c r="G202" i="1"/>
  <c r="G207" i="1"/>
  <c r="G205" i="1"/>
  <c r="G198" i="1"/>
  <c r="G197" i="1"/>
  <c r="F472" i="1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3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J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G164" i="2"/>
  <c r="C18" i="2"/>
  <c r="C26" i="10"/>
  <c r="L328" i="1"/>
  <c r="H660" i="1" s="1"/>
  <c r="L351" i="1"/>
  <c r="I662" i="1"/>
  <c r="A31" i="12"/>
  <c r="C70" i="2"/>
  <c r="A40" i="12"/>
  <c r="D62" i="2"/>
  <c r="D63" i="2" s="1"/>
  <c r="D18" i="13"/>
  <c r="C18" i="13" s="1"/>
  <c r="D15" i="13"/>
  <c r="C15" i="13" s="1"/>
  <c r="D7" i="13"/>
  <c r="C7" i="13" s="1"/>
  <c r="D17" i="13"/>
  <c r="C17" i="13" s="1"/>
  <c r="E8" i="13"/>
  <c r="C8" i="13" s="1"/>
  <c r="C91" i="2"/>
  <c r="F78" i="2"/>
  <c r="F81" i="2" s="1"/>
  <c r="D31" i="2"/>
  <c r="C78" i="2"/>
  <c r="G157" i="2"/>
  <c r="F18" i="2"/>
  <c r="G161" i="2"/>
  <c r="G156" i="2"/>
  <c r="E103" i="2"/>
  <c r="E62" i="2"/>
  <c r="E63" i="2" s="1"/>
  <c r="G62" i="2"/>
  <c r="D29" i="13"/>
  <c r="C29" i="13" s="1"/>
  <c r="D19" i="13"/>
  <c r="C19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I169" i="1"/>
  <c r="J643" i="1"/>
  <c r="H476" i="1"/>
  <c r="H624" i="1" s="1"/>
  <c r="I476" i="1"/>
  <c r="H625" i="1" s="1"/>
  <c r="J625" i="1" s="1"/>
  <c r="G476" i="1"/>
  <c r="H623" i="1" s="1"/>
  <c r="F169" i="1"/>
  <c r="J140" i="1"/>
  <c r="F571" i="1"/>
  <c r="H257" i="1"/>
  <c r="H271" i="1" s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F22" i="13"/>
  <c r="H25" i="13"/>
  <c r="C25" i="13" s="1"/>
  <c r="J651" i="1"/>
  <c r="J634" i="1"/>
  <c r="H571" i="1"/>
  <c r="L560" i="1"/>
  <c r="J545" i="1"/>
  <c r="G192" i="1"/>
  <c r="H192" i="1"/>
  <c r="E128" i="2"/>
  <c r="F552" i="1"/>
  <c r="L309" i="1"/>
  <c r="E16" i="13"/>
  <c r="L570" i="1"/>
  <c r="I571" i="1"/>
  <c r="I545" i="1"/>
  <c r="J636" i="1"/>
  <c r="G36" i="2"/>
  <c r="L565" i="1"/>
  <c r="K551" i="1"/>
  <c r="C22" i="13"/>
  <c r="A13" i="12" l="1"/>
  <c r="E33" i="13"/>
  <c r="D35" i="13" s="1"/>
  <c r="L614" i="1"/>
  <c r="J644" i="1"/>
  <c r="I661" i="1"/>
  <c r="H664" i="1"/>
  <c r="D145" i="2"/>
  <c r="H52" i="1"/>
  <c r="H619" i="1" s="1"/>
  <c r="J619" i="1" s="1"/>
  <c r="G624" i="1"/>
  <c r="L545" i="1"/>
  <c r="H545" i="1"/>
  <c r="K549" i="1"/>
  <c r="K552" i="1" s="1"/>
  <c r="K503" i="1"/>
  <c r="J338" i="1"/>
  <c r="J352" i="1" s="1"/>
  <c r="C16" i="10"/>
  <c r="E109" i="2"/>
  <c r="E115" i="2" s="1"/>
  <c r="E145" i="2" s="1"/>
  <c r="J624" i="1"/>
  <c r="C62" i="2"/>
  <c r="F112" i="1"/>
  <c r="J623" i="1"/>
  <c r="D14" i="13"/>
  <c r="C14" i="13" s="1"/>
  <c r="D5" i="13"/>
  <c r="C5" i="13" s="1"/>
  <c r="C123" i="2"/>
  <c r="C110" i="2"/>
  <c r="C115" i="2" s="1"/>
  <c r="D12" i="13"/>
  <c r="C12" i="13" s="1"/>
  <c r="C18" i="10"/>
  <c r="L211" i="1"/>
  <c r="L257" i="1" s="1"/>
  <c r="L271" i="1" s="1"/>
  <c r="G632" i="1" s="1"/>
  <c r="J632" i="1" s="1"/>
  <c r="C118" i="2"/>
  <c r="C128" i="2" s="1"/>
  <c r="C15" i="10"/>
  <c r="C10" i="10"/>
  <c r="C56" i="2"/>
  <c r="C63" i="2" s="1"/>
  <c r="J640" i="1"/>
  <c r="G645" i="1"/>
  <c r="J645" i="1" s="1"/>
  <c r="F476" i="1"/>
  <c r="H622" i="1" s="1"/>
  <c r="J622" i="1" s="1"/>
  <c r="H33" i="13"/>
  <c r="C16" i="13"/>
  <c r="C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H646" i="1" l="1"/>
  <c r="C104" i="2"/>
  <c r="F193" i="1"/>
  <c r="G627" i="1" s="1"/>
  <c r="J627" i="1" s="1"/>
  <c r="C145" i="2"/>
  <c r="F660" i="1"/>
  <c r="F664" i="1" s="1"/>
  <c r="F672" i="1" s="1"/>
  <c r="C4" i="10" s="1"/>
  <c r="C28" i="10"/>
  <c r="D19" i="10" s="1"/>
  <c r="G51" i="2"/>
  <c r="G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C30" i="10" l="1"/>
  <c r="D22" i="10"/>
  <c r="D23" i="10"/>
  <c r="D10" i="10"/>
  <c r="F667" i="1"/>
  <c r="D11" i="10"/>
  <c r="I660" i="1"/>
  <c r="I664" i="1" s="1"/>
  <c r="I672" i="1" s="1"/>
  <c r="C7" i="10" s="1"/>
  <c r="D13" i="10"/>
  <c r="D21" i="10"/>
  <c r="D26" i="10"/>
  <c r="D16" i="10"/>
  <c r="D27" i="10"/>
  <c r="D18" i="10"/>
  <c r="D17" i="10"/>
  <c r="D12" i="10"/>
  <c r="D24" i="10"/>
  <c r="D20" i="10"/>
  <c r="D15" i="10"/>
  <c r="D2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<sst xmlns="http://schemas.openxmlformats.org/spreadsheetml/2006/main" count="3959" uniqueCount="917">
  <si>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</si>
  <si>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</si>
  <si>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</si>
  <si>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</si>
  <si>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</si>
  <si>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</si>
  <si>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</si>
  <si>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</si>
  <si>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</si>
  <si>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</si>
  <si>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</si>
  <si>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</si>
  <si>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</si>
  <si>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</si>
  <si>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</si>
  <si>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</si>
  <si>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</si>
  <si>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</si>
  <si>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</si>
  <si>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</si>
  <si>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</si>
  <si>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</si>
  <si>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</si>
  <si>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</si>
  <si>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</si>
  <si>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</si>
  <si>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</si>
  <si>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</si>
  <si>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</si>
  <si>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</si>
  <si>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</si>
  <si>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</si>
  <si>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</si>
  <si>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</si>
  <si>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</si>
  <si>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</si>
  <si>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</si>
  <si>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</si>
  <si>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</si>
  <si>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</si>
  <si>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</si>
  <si>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</si>
  <si>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</si>
  <si>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</si>
  <si>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</si>
  <si>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</si>
  <si>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</si>
  <si>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</si>
  <si>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</si>
  <si>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</si>
  <si>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</si>
  <si>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</si>
  <si>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</si>
  <si>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</si>
  <si>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</si>
  <si>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</si>
  <si>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</si>
  <si>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</si>
  <si>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</si>
  <si>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</si>
  <si>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</si>
  <si>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</si>
  <si>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</si>
  <si>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</si>
  <si>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</si>
  <si>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</si>
  <si>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</si>
  <si>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</si>
  <si>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</si>
  <si>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</si>
  <si>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</si>
  <si>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</si>
  <si>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</si>
  <si>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</si>
  <si>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</si>
  <si>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</si>
  <si>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</si>
  <si>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</si>
  <si>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</si>
  <si>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</si>
  <si>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</si>
  <si>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</si>
  <si>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</si>
  <si>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</si>
  <si>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</si>
  <si>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</si>
  <si>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</si>
  <si>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</si>
  <si>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</si>
  <si>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</si>
  <si>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</si>
  <si>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</si>
  <si>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</si>
  <si>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</si>
  <si>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</si>
  <si>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</si>
  <si>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</si>
  <si>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</si>
  <si>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</si>
  <si>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</si>
  <si>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</si>
  <si>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</si>
  <si>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</si>
  <si>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</si>
  <si>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</si>
  <si>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</si>
  <si>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</si>
  <si>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</si>
  <si>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</si>
  <si>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</si>
  <si>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</si>
  <si>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</si>
  <si>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</si>
  <si>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</si>
  <si>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</si>
  <si>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</si>
  <si>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</si>
  <si>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</si>
  <si>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</si>
  <si>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</si>
  <si>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</si>
  <si>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</si>
  <si>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</si>
  <si>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</si>
  <si>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</si>
  <si>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</si>
  <si>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</si>
  <si>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</si>
  <si>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</si>
  <si>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</si>
  <si>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</si>
  <si>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</si>
  <si>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</si>
  <si>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</si>
  <si>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</si>
  <si>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</si>
  <si>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</si>
  <si>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</si>
  <si>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</si>
  <si>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</si>
  <si>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</si>
  <si>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</si>
  <si>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</si>
  <si>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</si>
  <si>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</si>
  <si>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</si>
  <si>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</si>
  <si>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</si>
  <si>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</si>
  <si>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</si>
  <si>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</si>
  <si>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</si>
  <si>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</si>
  <si>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</si>
  <si>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</si>
  <si>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</si>
  <si>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</si>
  <si>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</si>
  <si>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</si>
  <si>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</si>
  <si>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</si>
  <si>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</si>
  <si>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</si>
  <si>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</si>
  <si>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</si>
  <si>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</si>
  <si>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</si>
  <si>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</si>
  <si>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</si>
  <si>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</si>
  <si>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</si>
  <si>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</si>
  <si>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</si>
  <si>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</si>
  <si>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</si>
  <si>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</si>
  <si>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</si>
  <si>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</si>
  <si>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</si>
  <si>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</si>
  <si>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</si>
  <si>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</si>
  <si>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</si>
  <si>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</si>
  <si>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</si>
  <si>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</si>
  <si>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</si>
  <si>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</si>
  <si>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</si>
  <si>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</si>
  <si>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</si>
  <si>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</si>
  <si>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</si>
  <si>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</si>
  <si>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</si>
  <si>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</si>
  <si>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</si>
  <si>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</si>
  <si>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</si>
  <si>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</si>
  <si>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</si>
  <si>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</si>
  <si>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</si>
  <si>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</si>
  <si>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</si>
  <si>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</si>
  <si>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</si>
  <si>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</si>
  <si>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</si>
  <si>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</si>
  <si>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</si>
  <si>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</si>
  <si>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</si>
  <si>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</si>
  <si>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</si>
  <si>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</si>
  <si>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</si>
  <si>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</si>
  <si>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</si>
  <si>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</si>
  <si>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</si>
  <si>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</si>
  <si>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</si>
  <si>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</si>
  <si>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</si>
  <si>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</si>
  <si>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</si>
  <si>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</si>
  <si>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</si>
  <si>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</si>
  <si>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</si>
  <si>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</si>
  <si>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</si>
  <si>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</si>
  <si>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</si>
  <si>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</si>
  <si>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</si>
  <si>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</si>
  <si>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</si>
  <si>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</si>
  <si>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</si>
  <si>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</si>
  <si>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</si>
  <si>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</si>
  <si>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</si>
  <si>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</si>
  <si>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</si>
  <si>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</si>
  <si>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</si>
  <si>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</si>
  <si>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</si>
  <si>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</si>
  <si>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</si>
  <si>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</si>
  <si>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</si>
  <si>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</si>
  <si>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</si>
  <si>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</si>
  <si>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</si>
  <si>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</si>
  <si>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</si>
  <si>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</si>
  <si>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</si>
  <si>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</si>
  <si>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</si>
  <si>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</si>
  <si>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</si>
  <si>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</si>
  <si>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</si>
  <si>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</si>
  <si>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</si>
  <si>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</si>
  <si>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</si>
  <si>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</si>
  <si>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</si>
  <si>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</si>
  <si>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</si>
  <si>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</si>
  <si>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</si>
  <si>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</si>
  <si>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</si>
  <si>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</si>
  <si>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</si>
  <si>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</si>
  <si>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</si>
  <si>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</si>
  <si>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</si>
  <si>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</si>
  <si>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</si>
  <si>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</si>
  <si>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</si>
  <si>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</si>
  <si>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</si>
  <si>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</si>
  <si>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</si>
  <si>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</si>
  <si>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</si>
  <si>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</si>
  <si>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</si>
  <si>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</si>
  <si>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</si>
  <si>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</si>
  <si>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</si>
  <si>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</si>
  <si>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</si>
  <si>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</si>
  <si>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</si>
  <si>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</si>
  <si>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</si>
  <si>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</si>
  <si>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</si>
  <si>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</si>
  <si>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</si>
  <si>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</si>
  <si>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</si>
  <si>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</si>
  <si>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</si>
  <si>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</si>
  <si>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</si>
  <si>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</si>
  <si>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</si>
  <si>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</si>
  <si>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</si>
  <si>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</si>
  <si>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</si>
  <si>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</si>
  <si>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</si>
  <si>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</si>
  <si>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</si>
  <si>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</si>
  <si>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</si>
  <si>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</si>
  <si>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</si>
  <si>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</si>
  <si>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</si>
  <si>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</si>
  <si>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</si>
  <si>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</si>
  <si>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</si>
  <si>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</si>
  <si>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</si>
  <si>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</si>
  <si>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</si>
  <si>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</si>
  <si>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</si>
  <si>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</si>
  <si>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</si>
  <si>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</si>
  <si>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</si>
  <si>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</si>
  <si>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</si>
  <si>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</si>
  <si>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</si>
  <si>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</si>
  <si>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</si>
  <si>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</si>
  <si>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</si>
  <si>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</si>
  <si>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</si>
  <si>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</si>
  <si>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</si>
  <si>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</si>
  <si>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</si>
  <si>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</si>
  <si>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</si>
  <si>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</si>
  <si>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</si>
  <si>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</si>
  <si>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</si>
  <si>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</si>
  <si>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</si>
  <si>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</si>
  <si>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</si>
  <si>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</si>
  <si>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</si>
  <si>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</si>
  <si>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</si>
  <si>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</si>
  <si>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</si>
  <si>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</si>
  <si>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</si>
  <si>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</si>
  <si>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</si>
  <si>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</si>
  <si>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</si>
  <si>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</si>
  <si>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</si>
  <si>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</si>
  <si>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</si>
  <si>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</si>
  <si>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</si>
  <si>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</si>
  <si>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</si>
  <si>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</si>
  <si>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</si>
  <si>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</si>
  <si>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</si>
  <si>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</si>
  <si>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</si>
  <si>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</si>
  <si>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</si>
  <si>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</si>
  <si>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</si>
  <si>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</si>
  <si>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</si>
  <si>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</si>
  <si>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</si>
  <si>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</si>
  <si>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</si>
  <si>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</si>
  <si>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</si>
  <si>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</si>
  <si>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</si>
  <si>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</si>
  <si>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</si>
  <si>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</si>
  <si>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</si>
  <si>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</si>
  <si>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</si>
  <si>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</si>
  <si>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</si>
  <si>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</si>
  <si>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</si>
  <si>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</si>
  <si>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</si>
  <si>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</si>
  <si>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</si>
  <si>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</si>
  <si>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</si>
  <si>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</si>
  <si>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</si>
  <si>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</si>
  <si>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</si>
  <si>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</si>
  <si>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</si>
  <si>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</si>
  <si>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</si>
  <si>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</si>
  <si>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</si>
  <si>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</si>
  <si>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</si>
  <si>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</si>
  <si>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</si>
  <si>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</si>
  <si>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</si>
  <si>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</si>
  <si>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</si>
  <si>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</si>
  <si>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</si>
  <si>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</si>
  <si>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</si>
  <si>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</si>
  <si>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</si>
  <si>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</si>
  <si>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</si>
  <si>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</si>
  <si>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</si>
  <si>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</si>
  <si>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</si>
  <si>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</si>
  <si>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</si>
  <si>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</si>
  <si>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</si>
  <si>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</si>
  <si>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</si>
  <si>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</si>
  <si>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</si>
  <si>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</si>
  <si>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</si>
  <si>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</si>
  <si>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</si>
  <si>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</si>
  <si>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</si>
  <si>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</si>
  <si>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</si>
  <si>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</si>
  <si>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</si>
  <si>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</si>
  <si>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</si>
  <si>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</si>
  <si>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</si>
  <si>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</si>
  <si>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</si>
  <si>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</si>
  <si>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</si>
  <si>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</si>
  <si>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</si>
  <si>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</si>
  <si>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</si>
  <si>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</si>
  <si>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</si>
  <si>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</si>
  <si>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</si>
  <si>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</si>
  <si>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</si>
  <si>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</si>
  <si>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</si>
  <si>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</si>
  <si>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</si>
  <si>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</si>
  <si>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</si>
  <si>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</si>
  <si>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</si>
  <si>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</si>
  <si>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</si>
  <si>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</si>
  <si>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</si>
  <si>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</si>
  <si>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</si>
  <si>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</si>
  <si>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</si>
  <si>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</si>
  <si>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</si>
  <si>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</si>
  <si>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</si>
  <si>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</si>
  <si>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</si>
  <si>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</si>
  <si>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</si>
  <si>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</si>
  <si>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</si>
  <si>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</si>
  <si>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</si>
  <si>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</si>
  <si>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</si>
  <si>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</si>
  <si>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</si>
  <si>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</si>
  <si>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</si>
  <si>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</si>
  <si>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</si>
  <si>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</si>
  <si>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</si>
  <si>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</si>
  <si>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</si>
  <si>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</si>
  <si>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</si>
  <si>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</si>
  <si>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</si>
  <si>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</si>
  <si>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</si>
  <si>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</si>
  <si>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</si>
  <si>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</si>
  <si>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</si>
  <si>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</si>
  <si>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</si>
  <si>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</si>
  <si>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</si>
  <si>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</si>
  <si>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</si>
  <si>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</si>
  <si>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</si>
  <si>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</si>
  <si>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</si>
  <si>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</si>
  <si>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</si>
  <si>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</si>
  <si>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</si>
  <si>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</si>
  <si>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</si>
  <si>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</si>
  <si>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</si>
  <si>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</si>
  <si>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</si>
  <si>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</si>
  <si>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</si>
  <si>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</si>
  <si>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</si>
  <si>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</si>
  <si>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</si>
  <si>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</si>
  <si>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</si>
  <si>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</si>
  <si>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</si>
  <si>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</si>
  <si>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</si>
  <si>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</si>
  <si>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</si>
  <si>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</si>
  <si>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</si>
  <si>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</si>
  <si>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</si>
  <si>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</si>
  <si>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</si>
  <si>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</si>
  <si>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</si>
  <si>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</si>
  <si>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</si>
  <si>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</si>
  <si>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</si>
  <si>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</si>
  <si>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</si>
  <si>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</si>
  <si>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</si>
  <si>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</si>
  <si>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</si>
  <si>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</si>
  <si>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</si>
  <si>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</si>
  <si>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</si>
  <si>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</si>
  <si>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</si>
  <si>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</si>
  <si>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</si>
  <si>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</si>
  <si>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</si>
  <si>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</si>
  <si>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</si>
  <si>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</si>
  <si>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</si>
  <si>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</si>
  <si>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</si>
  <si>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</si>
  <si>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</si>
  <si>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</si>
  <si>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</si>
  <si>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</si>
  <si>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</si>
  <si>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</si>
  <si>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</si>
  <si>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</si>
  <si>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</si>
  <si>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</si>
  <si>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</si>
  <si>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</si>
  <si>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</si>
  <si>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</si>
  <si>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</si>
  <si>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</si>
  <si>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</si>
  <si>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</si>
  <si>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</si>
  <si>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</si>
  <si>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</si>
  <si>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</si>
  <si>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</si>
  <si>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</si>
  <si>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</si>
  <si>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</si>
  <si>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</si>
  <si>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</si>
  <si>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</si>
  <si>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</si>
  <si>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</si>
  <si>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</si>
  <si>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</si>
  <si>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</si>
  <si>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</si>
  <si>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</si>
  <si>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</si>
  <si>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</si>
  <si>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</si>
  <si>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</si>
  <si>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</si>
  <si>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</si>
  <si>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</si>
  <si>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</si>
  <si>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</si>
  <si>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</si>
  <si>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</si>
  <si>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</si>
  <si>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</si>
  <si>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</si>
  <si>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</si>
  <si>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</si>
  <si>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</si>
  <si>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</si>
  <si>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</si>
  <si>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</si>
  <si>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</si>
  <si>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</si>
  <si>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</si>
  <si>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</si>
  <si>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</si>
  <si>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</si>
  <si>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</si>
  <si>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</si>
  <si>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</si>
  <si>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</si>
  <si>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</si>
  <si>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</si>
  <si>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</si>
  <si>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</si>
  <si>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</si>
  <si>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</si>
  <si>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</si>
  <si>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</si>
  <si>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</si>
  <si>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</si>
  <si>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</si>
  <si>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</si>
  <si>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</si>
  <si>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</si>
  <si>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</si>
  <si>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</si>
  <si>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</si>
  <si>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</si>
  <si>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</si>
  <si>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</si>
  <si>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</si>
  <si>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</si>
  <si>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</si>
  <si>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</si>
  <si>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</si>
  <si>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</si>
  <si>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</si>
  <si>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</si>
  <si>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</si>
  <si>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</si>
  <si>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</si>
  <si>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</si>
  <si>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</si>
  <si>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</si>
  <si>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</si>
  <si>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</si>
  <si>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</si>
  <si>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</si>
  <si>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</si>
  <si>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</si>
  <si>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</si>
  <si>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</si>
  <si>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</si>
  <si>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</si>
  <si>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</si>
  <si>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</si>
  <si>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</si>
  <si>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</si>
  <si>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</si>
  <si>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</si>
  <si>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</si>
  <si>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</si>
  <si>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</si>
  <si>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</si>
  <si>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</si>
  <si>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</si>
  <si>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</si>
  <si>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</si>
  <si>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</si>
  <si>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</si>
  <si>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</si>
  <si>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</si>
  <si>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</si>
  <si>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</si>
  <si>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</si>
  <si>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</si>
  <si>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</si>
  <si>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</si>
  <si>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</si>
  <si>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</si>
  <si>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</si>
  <si>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</si>
  <si>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</si>
  <si>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</si>
  <si>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</si>
  <si>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</si>
  <si>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</si>
  <si>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</si>
  <si>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</si>
  <si>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</si>
  <si>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</si>
  <si>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</si>
  <si>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</si>
  <si>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</si>
  <si>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</si>
  <si>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</si>
  <si>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</si>
  <si>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</si>
  <si>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</si>
  <si>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</si>
  <si>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</si>
  <si>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</si>
  <si>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</si>
  <si>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</si>
  <si>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</si>
  <si>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</si>
  <si>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</si>
  <si>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</si>
  <si>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</si>
  <si>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</si>
  <si>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</si>
  <si>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</si>
  <si>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</si>
  <si>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</si>
  <si>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</si>
  <si>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</si>
  <si>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</si>
  <si>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</si>
  <si>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</si>
  <si>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</si>
  <si>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</si>
  <si>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</si>
  <si>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</si>
  <si>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</si>
  <si>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</si>
  <si>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</si>
  <si>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</si>
  <si>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</si>
  <si>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</si>
  <si>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</si>
  <si>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</si>
  <si>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</si>
  <si>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</si>
  <si>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</si>
  <si>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</si>
  <si>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</si>
  <si>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</si>
  <si>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</si>
  <si>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</si>
  <si>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</si>
  <si>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</si>
  <si>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</si>
  <si>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</si>
  <si>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</si>
  <si>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</si>
  <si>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</si>
  <si>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</si>
  <si>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</si>
  <si>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</si>
  <si>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</si>
  <si>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</si>
  <si>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</si>
  <si>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</si>
  <si>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</si>
  <si>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</si>
  <si>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</si>
  <si>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</si>
  <si>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</si>
  <si>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</si>
  <si>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</si>
  <si>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</si>
  <si>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</si>
  <si>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</si>
  <si>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</si>
  <si>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</si>
  <si>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</si>
  <si>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</si>
  <si>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</si>
  <si>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</si>
  <si>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</si>
  <si>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</si>
  <si>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</si>
  <si>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</si>
  <si>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</si>
  <si>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</si>
  <si>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</si>
  <si>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</si>
  <si>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</si>
  <si>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</si>
  <si>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</si>
  <si>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</si>
  <si>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</si>
  <si>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</si>
  <si>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</si>
  <si>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</si>
  <si>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</si>
  <si>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</si>
  <si>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</si>
  <si>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</si>
  <si>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</si>
  <si>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</si>
  <si>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</si>
  <si>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</si>
  <si>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</si>
  <si>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</si>
  <si>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</si>
  <si>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</si>
  <si>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</si>
  <si>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</si>
  <si>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</si>
  <si>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</si>
  <si>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</si>
  <si>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</si>
  <si>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</si>
  <si>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</si>
  <si>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</si>
  <si>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</si>
  <si>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</si>
  <si>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</si>
  <si>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</si>
  <si>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</si>
  <si>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</si>
  <si>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</si>
  <si>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</si>
  <si>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</si>
  <si>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</si>
  <si>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</si>
  <si>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</si>
  <si>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</si>
  <si>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</si>
  <si>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</si>
  <si>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</si>
  <si>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</si>
  <si>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</si>
  <si>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</si>
  <si>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</si>
  <si>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</si>
  <si>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</si>
  <si>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</si>
  <si>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</si>
  <si>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</si>
  <si>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</si>
  <si>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</si>
  <si>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</si>
  <si>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</si>
  <si>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</si>
  <si>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</si>
  <si>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</si>
  <si>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</si>
  <si>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</si>
  <si>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</si>
  <si>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</si>
  <si>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Brookline School District</t>
  </si>
  <si>
    <t>8/12</t>
  </si>
  <si>
    <t>8/22</t>
  </si>
  <si>
    <t>8/99</t>
  </si>
  <si>
    <t>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</si>
</sst>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38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8" fillId="0" borderId="0" xfId="0" applyFont="1"/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6" borderId="0" xfId="1" applyNumberFormat="1" applyFont="1" applyFill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Fill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40" fontId="3" fillId="0" borderId="0" xfId="1" applyNumberFormat="1" applyFont="1" applyProtection="1"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</cellXfs>
  <cellStyles count="3">
    <cellStyle name="Comma 2" xfId="2"/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87" sqref="F58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71</v>
      </c>
      <c r="C2" s="21">
        <v>71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275">
        <v>511704.67</v>
      </c>
      <c r="G9" s="18">
        <v>49089.94</v>
      </c>
      <c r="H9" s="18">
        <v>34314.879999999997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275">
        <v>390.43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275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275">
        <v>329347.74</v>
      </c>
      <c r="G12" s="276"/>
      <c r="H12" s="276">
        <v>44675.42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275">
        <v>3721.94</v>
      </c>
      <c r="G13" s="276">
        <v>2560.4499999999998</v>
      </c>
      <c r="H13" s="276"/>
      <c r="I13" s="18"/>
      <c r="J13" s="67">
        <f>SUM(I442)</f>
        <v>55639.29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275">
        <v>9826.3499999999985</v>
      </c>
      <c r="G14" s="276">
        <v>15</v>
      </c>
      <c r="H14" s="276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5021.1499999999996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4347.5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859338.62999999989</v>
      </c>
      <c r="G19" s="41">
        <f>SUM(G9:G18)</f>
        <v>56686.54</v>
      </c>
      <c r="H19" s="41">
        <f>SUM(H9:H18)</f>
        <v>78990.299999999988</v>
      </c>
      <c r="I19" s="41">
        <f>SUM(I9:I18)</f>
        <v>0</v>
      </c>
      <c r="J19" s="41">
        <f>SUM(J9:J18)</f>
        <v>55639.29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277">
        <v>330242.08</v>
      </c>
      <c r="G22" s="277"/>
      <c r="H22" s="277">
        <v>44675.42</v>
      </c>
      <c r="I22" s="277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277">
        <v>1821.91</v>
      </c>
      <c r="G23" s="277">
        <v>49.12</v>
      </c>
      <c r="H23" s="277"/>
      <c r="I23" s="277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277">
        <v>54343.38</v>
      </c>
      <c r="G24" s="277">
        <v>194.91</v>
      </c>
      <c r="H24" s="277"/>
      <c r="I24" s="277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277"/>
      <c r="G25" s="278"/>
      <c r="H25" s="277"/>
      <c r="I25" s="277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279">
        <v>43596.09</v>
      </c>
      <c r="G28" s="279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279"/>
      <c r="G29" s="279">
        <v>8970.61</v>
      </c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279">
        <v>12583.35</v>
      </c>
      <c r="G30" s="279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442586.80999999994</v>
      </c>
      <c r="G32" s="41">
        <f>SUM(G22:G31)</f>
        <v>9214.6400000000012</v>
      </c>
      <c r="H32" s="41">
        <f>SUM(H22:H31)</f>
        <v>44675.42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280"/>
      <c r="G35" s="280">
        <v>5021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280">
        <v>4347</v>
      </c>
      <c r="G36" s="280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f>42451-0.1</f>
        <v>42450.9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>
        <v>34314.879999999997</v>
      </c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140000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281"/>
      <c r="G48" s="281"/>
      <c r="H48" s="18"/>
      <c r="I48" s="18"/>
      <c r="J48" s="13">
        <f>SUM(I459)</f>
        <v>55639.29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35065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282">
        <v>237339.82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416751.82</v>
      </c>
      <c r="G51" s="41">
        <f>SUM(G35:G50)</f>
        <v>47471.9</v>
      </c>
      <c r="H51" s="41">
        <f>SUM(H35:H50)</f>
        <v>34314.879999999997</v>
      </c>
      <c r="I51" s="41">
        <f>SUM(I35:I50)</f>
        <v>0</v>
      </c>
      <c r="J51" s="41">
        <f>SUM(J35:J50)</f>
        <v>55639.29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859338.62999999989</v>
      </c>
      <c r="G52" s="41">
        <f>G51+G32</f>
        <v>56686.54</v>
      </c>
      <c r="H52" s="41">
        <f>H51+H32</f>
        <v>78990.299999999988</v>
      </c>
      <c r="I52" s="41">
        <f>I51+I32</f>
        <v>0</v>
      </c>
      <c r="J52" s="41">
        <f>J51+J32</f>
        <v>55639.29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283">
        <v>5447638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283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283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5447638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182435.04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182435.04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284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1599.11</v>
      </c>
      <c r="G96" s="18"/>
      <c r="H96" s="18"/>
      <c r="I96" s="18"/>
      <c r="J96" s="18">
        <v>23.12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285">
        <v>120547.3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11279.58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286">
        <v>2630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15706.45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287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19935.560000000001</v>
      </c>
      <c r="G111" s="41">
        <f>SUM(G96:G110)</f>
        <v>120547.3</v>
      </c>
      <c r="H111" s="41">
        <f>SUM(H96:H110)</f>
        <v>11279.58</v>
      </c>
      <c r="I111" s="41">
        <f>SUM(I96:I110)</f>
        <v>0</v>
      </c>
      <c r="J111" s="41">
        <f>SUM(J96:J110)</f>
        <v>23.12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5650008.5999999996</v>
      </c>
      <c r="G112" s="41">
        <f>G60+G111</f>
        <v>120547.3</v>
      </c>
      <c r="H112" s="41">
        <f>H60+H79+H94+H111</f>
        <v>11279.58</v>
      </c>
      <c r="I112" s="41">
        <f>I60+I111</f>
        <v>0</v>
      </c>
      <c r="J112" s="41">
        <f>J60+J111</f>
        <v>23.12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288">
        <f>2373730.24-573129.24</f>
        <v>1800601.0000000002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573129.24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2373730.2400000002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289">
        <v>51566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289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289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289">
        <v>4000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290">
        <v>2367.96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55566</v>
      </c>
      <c r="G136" s="41">
        <f>SUM(G123:G135)</f>
        <v>2367.96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2429296.2400000002</v>
      </c>
      <c r="G140" s="41">
        <f>G121+SUM(G136:G137)</f>
        <v>2367.96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>
        <v>9526.69</v>
      </c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9526.69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47497.66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25739.439999999999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291">
        <v>33502.85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108951.33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292">
        <v>21729.41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293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21729.41</v>
      </c>
      <c r="G162" s="41">
        <f>SUM(G150:G161)</f>
        <v>33502.85</v>
      </c>
      <c r="H162" s="41">
        <f>SUM(H150:H161)</f>
        <v>182188.43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21729.41</v>
      </c>
      <c r="G169" s="41">
        <f>G147+G162+SUM(G163:G168)</f>
        <v>43029.54</v>
      </c>
      <c r="H169" s="41">
        <f>H147+H162+SUM(H163:H168)</f>
        <v>182188.43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294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8101034.25</v>
      </c>
      <c r="G193" s="47">
        <f>G112+G140+G169+G192</f>
        <v>165944.80000000002</v>
      </c>
      <c r="H193" s="47">
        <f>H112+H140+H169+H192</f>
        <v>193468.00999999998</v>
      </c>
      <c r="I193" s="47">
        <f>I112+I140+I169+I192</f>
        <v>0</v>
      </c>
      <c r="J193" s="47">
        <f>J112+J140+J192</f>
        <v>10023.120000000001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295">
        <v>2279626.59</v>
      </c>
      <c r="G197" s="295">
        <f>11922.75+937525.46</f>
        <v>949448.21</v>
      </c>
      <c r="H197" s="295">
        <v>2365</v>
      </c>
      <c r="I197" s="295">
        <v>67671.22</v>
      </c>
      <c r="J197" s="295">
        <v>1218.47</v>
      </c>
      <c r="K197" s="295">
        <v>387.5</v>
      </c>
      <c r="L197" s="19">
        <f>SUM(F197:K197)</f>
        <v>3300716.99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295">
        <v>924681.67</v>
      </c>
      <c r="G198" s="295">
        <f>5549.87+25084.32+380279.22</f>
        <v>410913.41</v>
      </c>
      <c r="H198" s="295">
        <v>45811.360000000001</v>
      </c>
      <c r="I198" s="295">
        <v>6220.13</v>
      </c>
      <c r="J198" s="295">
        <v>4287.6400000000003</v>
      </c>
      <c r="K198" s="295">
        <v>795</v>
      </c>
      <c r="L198" s="19">
        <f>SUM(F198:K198)</f>
        <v>1392709.21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295"/>
      <c r="G199" s="295"/>
      <c r="H199" s="295"/>
      <c r="I199" s="295"/>
      <c r="J199" s="295"/>
      <c r="K199" s="295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296">
        <v>544194.56000000006</v>
      </c>
      <c r="G202" s="296">
        <f>223843.29</f>
        <v>223843.29</v>
      </c>
      <c r="H202" s="296">
        <v>39181.51</v>
      </c>
      <c r="I202" s="296">
        <v>9629.6200000000008</v>
      </c>
      <c r="J202" s="296">
        <v>158</v>
      </c>
      <c r="K202" s="296"/>
      <c r="L202" s="19">
        <f t="shared" ref="L202:L208" si="0">SUM(F202:K202)</f>
        <v>817006.9800000001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296">
        <v>115267</v>
      </c>
      <c r="G203" s="296">
        <f>47421.35+55301.41+1934.33</f>
        <v>104657.09000000001</v>
      </c>
      <c r="H203" s="296">
        <v>801.54</v>
      </c>
      <c r="I203" s="296">
        <v>4704.34</v>
      </c>
      <c r="J203" s="296">
        <v>26177.86</v>
      </c>
      <c r="K203" s="296"/>
      <c r="L203" s="19">
        <f t="shared" si="0"/>
        <v>251607.83000000002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296"/>
      <c r="G204" s="296"/>
      <c r="H204" s="296">
        <f>310592.82+667.79</f>
        <v>311260.61</v>
      </c>
      <c r="I204" s="296">
        <v>6596.65</v>
      </c>
      <c r="J204" s="296"/>
      <c r="K204" s="296"/>
      <c r="L204" s="19">
        <f t="shared" si="0"/>
        <v>317857.26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296">
        <v>306025.71000000002</v>
      </c>
      <c r="G205" s="296">
        <f>619.34+8303.94+125911.85</f>
        <v>134835.13</v>
      </c>
      <c r="H205" s="296">
        <v>46704.41</v>
      </c>
      <c r="I205" s="296">
        <v>48921.97</v>
      </c>
      <c r="J205" s="296">
        <f>1192.5+287.25</f>
        <v>1479.75</v>
      </c>
      <c r="K205" s="296">
        <v>1090</v>
      </c>
      <c r="L205" s="19">
        <f t="shared" si="0"/>
        <v>539056.97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296"/>
      <c r="G206" s="296"/>
      <c r="H206" s="296"/>
      <c r="I206" s="296"/>
      <c r="J206" s="296"/>
      <c r="K206" s="296">
        <v>607.20000000000005</v>
      </c>
      <c r="L206" s="19">
        <f t="shared" si="0"/>
        <v>607.20000000000005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296">
        <v>247993.02</v>
      </c>
      <c r="G207" s="296">
        <f>6727.39+101928.64</f>
        <v>108656.03</v>
      </c>
      <c r="H207" s="296">
        <f>154967.92+48005.41</f>
        <v>202973.33000000002</v>
      </c>
      <c r="I207" s="296">
        <v>136621.59</v>
      </c>
      <c r="J207" s="296">
        <v>19705.27</v>
      </c>
      <c r="K207" s="296"/>
      <c r="L207" s="19">
        <f t="shared" si="0"/>
        <v>715949.24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296"/>
      <c r="G208" s="296"/>
      <c r="H208" s="296">
        <v>298720</v>
      </c>
      <c r="I208" s="296">
        <v>27093.17</v>
      </c>
      <c r="J208" s="296"/>
      <c r="K208" s="296"/>
      <c r="L208" s="19">
        <f t="shared" si="0"/>
        <v>325813.17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296"/>
      <c r="G209" s="296"/>
      <c r="H209" s="296"/>
      <c r="I209" s="296"/>
      <c r="J209" s="296"/>
      <c r="K209" s="296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4417788.55</v>
      </c>
      <c r="G211" s="41">
        <f t="shared" si="1"/>
        <v>1932353.16</v>
      </c>
      <c r="H211" s="41">
        <f t="shared" si="1"/>
        <v>947817.76</v>
      </c>
      <c r="I211" s="41">
        <f t="shared" si="1"/>
        <v>307458.69</v>
      </c>
      <c r="J211" s="41">
        <f t="shared" si="1"/>
        <v>53026.990000000005</v>
      </c>
      <c r="K211" s="41">
        <f t="shared" si="1"/>
        <v>2879.7</v>
      </c>
      <c r="L211" s="41">
        <f t="shared" si="1"/>
        <v>7661324.8500000006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4417788.55</v>
      </c>
      <c r="G257" s="41">
        <f t="shared" si="8"/>
        <v>1932353.16</v>
      </c>
      <c r="H257" s="41">
        <f t="shared" si="8"/>
        <v>947817.76</v>
      </c>
      <c r="I257" s="41">
        <f t="shared" si="8"/>
        <v>307458.69</v>
      </c>
      <c r="J257" s="41">
        <f t="shared" si="8"/>
        <v>53026.990000000005</v>
      </c>
      <c r="K257" s="41">
        <f t="shared" si="8"/>
        <v>2879.7</v>
      </c>
      <c r="L257" s="41">
        <f t="shared" si="8"/>
        <v>7661324.8500000006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297">
        <v>213870.25</v>
      </c>
      <c r="L260" s="19">
        <f>SUM(F260:K260)</f>
        <v>213870.25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297">
        <v>266879.75</v>
      </c>
      <c r="L261" s="19">
        <f>SUM(F261:K261)</f>
        <v>266879.75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29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490750</v>
      </c>
      <c r="L270" s="41">
        <f t="shared" si="9"/>
        <v>490750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4417788.55</v>
      </c>
      <c r="G271" s="42">
        <f t="shared" si="11"/>
        <v>1932353.16</v>
      </c>
      <c r="H271" s="42">
        <f t="shared" si="11"/>
        <v>947817.76</v>
      </c>
      <c r="I271" s="42">
        <f t="shared" si="11"/>
        <v>307458.69</v>
      </c>
      <c r="J271" s="42">
        <f t="shared" si="11"/>
        <v>53026.990000000005</v>
      </c>
      <c r="K271" s="42">
        <f t="shared" si="11"/>
        <v>493629.7</v>
      </c>
      <c r="L271" s="42">
        <f t="shared" si="11"/>
        <v>8152074.8500000006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9459.06+5330+10001.25</f>
        <v>24790.309999999998</v>
      </c>
      <c r="G276" s="18">
        <f>407.75+1369.55+2864.73+3325</f>
        <v>7967.03</v>
      </c>
      <c r="H276" s="18">
        <f>2728.41+3600</f>
        <v>6328.41</v>
      </c>
      <c r="I276" s="18">
        <f>2080.72+284.54+2808.35</f>
        <v>5173.6099999999997</v>
      </c>
      <c r="J276" s="18">
        <f>32347.64+5496.61</f>
        <v>37844.25</v>
      </c>
      <c r="K276" s="18"/>
      <c r="L276" s="19">
        <f>SUM(F276:K276)</f>
        <v>82103.61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1000+86915.17+4221.66</f>
        <v>92136.83</v>
      </c>
      <c r="G277" s="18"/>
      <c r="H277" s="18">
        <f>3500+100</f>
        <v>3600</v>
      </c>
      <c r="I277" s="18">
        <v>16714.5</v>
      </c>
      <c r="J277" s="18"/>
      <c r="K277" s="18"/>
      <c r="L277" s="19">
        <f>SUM(F277:K277)</f>
        <v>112451.33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>
        <v>222</v>
      </c>
      <c r="H282" s="18"/>
      <c r="I282" s="18"/>
      <c r="J282" s="18"/>
      <c r="K282" s="18"/>
      <c r="L282" s="19">
        <f t="shared" si="12"/>
        <v>222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116927.14</v>
      </c>
      <c r="G290" s="42">
        <f t="shared" si="13"/>
        <v>8189.03</v>
      </c>
      <c r="H290" s="42">
        <f t="shared" si="13"/>
        <v>9928.41</v>
      </c>
      <c r="I290" s="42">
        <f t="shared" si="13"/>
        <v>21888.11</v>
      </c>
      <c r="J290" s="42">
        <f t="shared" si="13"/>
        <v>37844.25</v>
      </c>
      <c r="K290" s="42">
        <f t="shared" si="13"/>
        <v>0</v>
      </c>
      <c r="L290" s="41">
        <f t="shared" si="13"/>
        <v>194776.94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116927.14</v>
      </c>
      <c r="G338" s="41">
        <f t="shared" si="20"/>
        <v>8189.03</v>
      </c>
      <c r="H338" s="41">
        <f t="shared" si="20"/>
        <v>9928.41</v>
      </c>
      <c r="I338" s="41">
        <f t="shared" si="20"/>
        <v>21888.11</v>
      </c>
      <c r="J338" s="41">
        <f t="shared" si="20"/>
        <v>37844.25</v>
      </c>
      <c r="K338" s="41">
        <f t="shared" si="20"/>
        <v>0</v>
      </c>
      <c r="L338" s="41">
        <f t="shared" si="20"/>
        <v>194776.94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116927.14</v>
      </c>
      <c r="G352" s="41">
        <f>G338</f>
        <v>8189.03</v>
      </c>
      <c r="H352" s="41">
        <f>H338</f>
        <v>9928.41</v>
      </c>
      <c r="I352" s="41">
        <f>I338</f>
        <v>21888.11</v>
      </c>
      <c r="J352" s="41">
        <f>J338</f>
        <v>37844.25</v>
      </c>
      <c r="K352" s="47">
        <f>K338+K351</f>
        <v>0</v>
      </c>
      <c r="L352" s="41">
        <f>L338+L351</f>
        <v>194776.94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299">
        <v>68323.59</v>
      </c>
      <c r="G358" s="299">
        <v>239.12</v>
      </c>
      <c r="H358" s="299">
        <v>1197.9100000000001</v>
      </c>
      <c r="I358" s="299">
        <v>86405.75</v>
      </c>
      <c r="J358" s="299">
        <v>12045.4</v>
      </c>
      <c r="K358" s="299">
        <v>150</v>
      </c>
      <c r="L358" s="13">
        <f>SUM(F358:K358)</f>
        <v>168361.77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68323.59</v>
      </c>
      <c r="G362" s="47">
        <f t="shared" si="22"/>
        <v>239.12</v>
      </c>
      <c r="H362" s="47">
        <f t="shared" si="22"/>
        <v>1197.9100000000001</v>
      </c>
      <c r="I362" s="47">
        <f t="shared" si="22"/>
        <v>86405.75</v>
      </c>
      <c r="J362" s="47">
        <f t="shared" si="22"/>
        <v>12045.4</v>
      </c>
      <c r="K362" s="47">
        <f t="shared" si="22"/>
        <v>150</v>
      </c>
      <c r="L362" s="47">
        <f t="shared" si="22"/>
        <v>168361.77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300">
        <v>79895.009999999995</v>
      </c>
      <c r="G367" s="18"/>
      <c r="H367" s="18"/>
      <c r="I367" s="56">
        <f>SUM(F367:H367)</f>
        <v>79895.009999999995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6510.74</v>
      </c>
      <c r="G368" s="63"/>
      <c r="H368" s="63"/>
      <c r="I368" s="56">
        <f>SUM(F368:H368)</f>
        <v>6510.74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86405.75</v>
      </c>
      <c r="G369" s="47">
        <f>SUM(G367:G368)</f>
        <v>0</v>
      </c>
      <c r="H369" s="47">
        <f>SUM(H367:H368)</f>
        <v>0</v>
      </c>
      <c r="I369" s="47">
        <f>SUM(I367:I368)</f>
        <v>86405.75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301">
        <v>10000</v>
      </c>
      <c r="H389" s="18"/>
      <c r="I389" s="18"/>
      <c r="J389" s="24" t="s">
        <v>288</v>
      </c>
      <c r="K389" s="24" t="s">
        <v>288</v>
      </c>
      <c r="L389" s="56">
        <f t="shared" si="25"/>
        <v>10000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23.12</v>
      </c>
      <c r="I392" s="18"/>
      <c r="J392" s="24" t="s">
        <v>288</v>
      </c>
      <c r="K392" s="24" t="s">
        <v>288</v>
      </c>
      <c r="L392" s="56">
        <f t="shared" si="25"/>
        <v>23.12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23.12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10023.120000000001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23.12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10023.120000000001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302"/>
      <c r="G442" s="18">
        <v>55639.29</v>
      </c>
      <c r="H442" s="18"/>
      <c r="I442" s="56">
        <f t="shared" si="33"/>
        <v>55639.29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55639.29</v>
      </c>
      <c r="H446" s="13">
        <f>SUM(H439:H445)</f>
        <v>0</v>
      </c>
      <c r="I446" s="13">
        <f>SUM(I439:I445)</f>
        <v>55639.29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303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304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55639.29</v>
      </c>
      <c r="H459" s="18"/>
      <c r="I459" s="56">
        <f t="shared" si="34"/>
        <v>55639.29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55639.29</v>
      </c>
      <c r="H460" s="83">
        <f>SUM(H454:H459)</f>
        <v>0</v>
      </c>
      <c r="I460" s="83">
        <f>SUM(I454:I459)</f>
        <v>55639.29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55639.29</v>
      </c>
      <c r="H461" s="42">
        <f>H452+H460</f>
        <v>0</v>
      </c>
      <c r="I461" s="42">
        <f>I452+I460</f>
        <v>55639.29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305">
        <f>470116.42-2324</f>
        <v>467792.42</v>
      </c>
      <c r="G465" s="305">
        <f>49888.87</f>
        <v>49888.87</v>
      </c>
      <c r="H465" s="305">
        <v>35623.81</v>
      </c>
      <c r="I465" s="305">
        <v>0</v>
      </c>
      <c r="J465" s="18">
        <v>45616.17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307">
        <v>8101034.25</v>
      </c>
      <c r="G468" s="306">
        <v>165944.79999999999</v>
      </c>
      <c r="H468" s="306">
        <f>182188.43+11279.58</f>
        <v>193468.00999999998</v>
      </c>
      <c r="I468" s="306"/>
      <c r="J468" s="306">
        <v>10023.120000000001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8101034.25</v>
      </c>
      <c r="G470" s="53">
        <f>SUM(G468:G469)</f>
        <v>165944.79999999999</v>
      </c>
      <c r="H470" s="53">
        <f>SUM(H468:H469)</f>
        <v>193468.00999999998</v>
      </c>
      <c r="I470" s="53">
        <f>SUM(I468:I469)</f>
        <v>0</v>
      </c>
      <c r="J470" s="53">
        <f>SUM(J468:J469)</f>
        <v>10023.120000000001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308">
        <f>8100274.82+51800.03</f>
        <v>8152074.8500000006</v>
      </c>
      <c r="G472" s="308">
        <v>168361.77</v>
      </c>
      <c r="H472" s="18">
        <f>12588.51+182188.43</f>
        <v>194776.94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308"/>
      <c r="G473" s="30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8152074.8500000006</v>
      </c>
      <c r="G474" s="53">
        <f>SUM(G472:G473)</f>
        <v>168361.77</v>
      </c>
      <c r="H474" s="53">
        <f>SUM(H472:H473)</f>
        <v>194776.94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416751.81999999937</v>
      </c>
      <c r="G476" s="53">
        <f>(G465+G470)- G474</f>
        <v>47471.899999999994</v>
      </c>
      <c r="H476" s="53">
        <f>(H465+H470)- H474</f>
        <v>34314.879999999976</v>
      </c>
      <c r="I476" s="53">
        <f>(I465+I470)- I474</f>
        <v>0</v>
      </c>
      <c r="J476" s="53">
        <f>(J465+J470)- J474</f>
        <v>55639.29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>
        <v>20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915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916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408500</v>
      </c>
      <c r="G493" s="18">
        <v>5367912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2.3199999999999998</v>
      </c>
      <c r="G494" s="18">
        <v>5.2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265000</v>
      </c>
      <c r="G495" s="18">
        <v>660759.85</v>
      </c>
      <c r="H495" s="18"/>
      <c r="I495" s="18"/>
      <c r="J495" s="18"/>
      <c r="K495" s="53">
        <f>SUM(F495:J495)</f>
        <v>925759.85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40000</v>
      </c>
      <c r="G497" s="18">
        <v>173870.25</v>
      </c>
      <c r="H497" s="18"/>
      <c r="I497" s="18"/>
      <c r="J497" s="18"/>
      <c r="K497" s="53">
        <f t="shared" si="35"/>
        <v>213870.25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225000</v>
      </c>
      <c r="G498" s="204">
        <v>469948.18</v>
      </c>
      <c r="H498" s="204"/>
      <c r="I498" s="204"/>
      <c r="J498" s="204"/>
      <c r="K498" s="205">
        <f t="shared" si="35"/>
        <v>694948.17999999993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24450</v>
      </c>
      <c r="G499" s="18">
        <v>826651.82</v>
      </c>
      <c r="H499" s="18"/>
      <c r="I499" s="18"/>
      <c r="J499" s="18"/>
      <c r="K499" s="53">
        <f t="shared" si="35"/>
        <v>851101.82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249450</v>
      </c>
      <c r="G500" s="42">
        <f>SUM(G498:G499)</f>
        <v>1296600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1546050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40000</v>
      </c>
      <c r="G501" s="204">
        <v>165169.13</v>
      </c>
      <c r="H501" s="204"/>
      <c r="I501" s="204"/>
      <c r="J501" s="204"/>
      <c r="K501" s="205">
        <f t="shared" si="35"/>
        <v>205169.13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7300</v>
      </c>
      <c r="G502" s="18">
        <v>267855.87</v>
      </c>
      <c r="H502" s="18"/>
      <c r="I502" s="18"/>
      <c r="J502" s="18"/>
      <c r="K502" s="53">
        <f t="shared" si="35"/>
        <v>275155.87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47300</v>
      </c>
      <c r="G503" s="42">
        <f>SUM(G501:G502)</f>
        <v>433025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480325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931864.5</v>
      </c>
      <c r="G521" s="18">
        <v>279559.34999999998</v>
      </c>
      <c r="H521" s="18">
        <v>44139.26</v>
      </c>
      <c r="I521" s="18"/>
      <c r="J521" s="18"/>
      <c r="K521" s="18"/>
      <c r="L521" s="88">
        <f>SUM(F521:K521)</f>
        <v>1255563.1100000001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931864.5</v>
      </c>
      <c r="G524" s="108">
        <f t="shared" ref="G524:L524" si="36">SUM(G521:G523)</f>
        <v>279559.34999999998</v>
      </c>
      <c r="H524" s="108">
        <f t="shared" si="36"/>
        <v>44139.26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1255563.1100000001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292008.73</v>
      </c>
      <c r="G526" s="18">
        <v>87602.62</v>
      </c>
      <c r="H526" s="18">
        <v>37080.730000000003</v>
      </c>
      <c r="I526" s="18"/>
      <c r="J526" s="18"/>
      <c r="K526" s="18"/>
      <c r="L526" s="88">
        <f>SUM(F526:K526)</f>
        <v>416692.07999999996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292008.73</v>
      </c>
      <c r="G529" s="89">
        <f t="shared" ref="G529:L529" si="37">SUM(G526:G528)</f>
        <v>87602.62</v>
      </c>
      <c r="H529" s="89">
        <f t="shared" si="37"/>
        <v>37080.730000000003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416692.07999999996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84954</v>
      </c>
      <c r="G531" s="18">
        <v>25786.2</v>
      </c>
      <c r="H531" s="18"/>
      <c r="I531" s="18"/>
      <c r="J531" s="18"/>
      <c r="K531" s="18"/>
      <c r="L531" s="88">
        <f>SUM(F531:K531)</f>
        <v>110740.2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84954</v>
      </c>
      <c r="G534" s="89">
        <f t="shared" ref="G534:L534" si="38">SUM(G531:G533)</f>
        <v>25786.2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110740.2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1772.1</v>
      </c>
      <c r="I536" s="18"/>
      <c r="J536" s="18"/>
      <c r="K536" s="18"/>
      <c r="L536" s="88">
        <f>SUM(F536:K536)</f>
        <v>1772.1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1772.1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1772.1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56618.7</v>
      </c>
      <c r="I541" s="18"/>
      <c r="J541" s="18"/>
      <c r="K541" s="18"/>
      <c r="L541" s="88">
        <f>SUM(F541:K541)</f>
        <v>56618.7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56618.7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56618.7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1308827.23</v>
      </c>
      <c r="G545" s="89">
        <f t="shared" ref="G545:L545" si="41">G524+G529+G534+G539+G544</f>
        <v>392948.17</v>
      </c>
      <c r="H545" s="89">
        <f t="shared" si="41"/>
        <v>139610.79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1841386.19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1255563.1100000001</v>
      </c>
      <c r="G549" s="87">
        <f>L526</f>
        <v>416692.07999999996</v>
      </c>
      <c r="H549" s="87">
        <f>L531</f>
        <v>110740.2</v>
      </c>
      <c r="I549" s="87">
        <f>L536</f>
        <v>1772.1</v>
      </c>
      <c r="J549" s="87">
        <f>L541</f>
        <v>56618.7</v>
      </c>
      <c r="K549" s="87">
        <f>SUM(F549:J549)</f>
        <v>1841386.19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1255563.1100000001</v>
      </c>
      <c r="G552" s="89">
        <f t="shared" si="42"/>
        <v>416692.07999999996</v>
      </c>
      <c r="H552" s="89">
        <f t="shared" si="42"/>
        <v>110740.2</v>
      </c>
      <c r="I552" s="89">
        <f t="shared" si="42"/>
        <v>1772.1</v>
      </c>
      <c r="J552" s="89">
        <f t="shared" si="42"/>
        <v>56618.7</v>
      </c>
      <c r="K552" s="89">
        <f t="shared" si="42"/>
        <v>1841386.19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29050.5</v>
      </c>
      <c r="G582" s="18"/>
      <c r="H582" s="18"/>
      <c r="I582" s="87">
        <f t="shared" si="47"/>
        <v>29050.5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309">
        <v>241459.8</v>
      </c>
      <c r="I591" s="18"/>
      <c r="J591" s="18"/>
      <c r="K591" s="104">
        <f t="shared" ref="K591:K597" si="48">SUM(H591:J591)</f>
        <v>241459.8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309">
        <v>56618.7</v>
      </c>
      <c r="I592" s="18"/>
      <c r="J592" s="18"/>
      <c r="K592" s="104">
        <f t="shared" si="48"/>
        <v>56618.7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309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309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309">
        <v>641.5</v>
      </c>
      <c r="I595" s="18"/>
      <c r="J595" s="18"/>
      <c r="K595" s="104">
        <f t="shared" si="48"/>
        <v>641.5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309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309">
        <v>27093.17</v>
      </c>
      <c r="I597" s="18"/>
      <c r="J597" s="18"/>
      <c r="K597" s="104">
        <f t="shared" si="48"/>
        <v>27093.17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325813.17</v>
      </c>
      <c r="I598" s="108">
        <f>SUM(I591:I597)</f>
        <v>0</v>
      </c>
      <c r="J598" s="108">
        <f>SUM(J591:J597)</f>
        <v>0</v>
      </c>
      <c r="K598" s="108">
        <f>SUM(K591:K597)</f>
        <v>325813.17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310">
        <f>53026.99+37844.25</f>
        <v>90871.239999999991</v>
      </c>
      <c r="I604" s="18"/>
      <c r="J604" s="18"/>
      <c r="K604" s="104">
        <f>SUM(H604:J604)</f>
        <v>90871.239999999991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90871.239999999991</v>
      </c>
      <c r="I605" s="108">
        <f>SUM(I602:I604)</f>
        <v>0</v>
      </c>
      <c r="J605" s="108">
        <f>SUM(J602:J604)</f>
        <v>0</v>
      </c>
      <c r="K605" s="108">
        <f>SUM(K602:K604)</f>
        <v>90871.239999999991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35910.629999999997</v>
      </c>
      <c r="G611" s="18"/>
      <c r="H611" s="18"/>
      <c r="I611" s="18"/>
      <c r="J611" s="18"/>
      <c r="K611" s="18"/>
      <c r="L611" s="88">
        <f>SUM(F611:K611)</f>
        <v>35910.629999999997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35910.629999999997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35910.629999999997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859338.62999999989</v>
      </c>
      <c r="H617" s="109">
        <f>SUM(F52)</f>
        <v>859338.62999999989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56686.54</v>
      </c>
      <c r="H618" s="109">
        <f>SUM(G52)</f>
        <v>56686.54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78990.299999999988</v>
      </c>
      <c r="H619" s="109">
        <f>SUM(H52)</f>
        <v>78990.299999999988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55639.29</v>
      </c>
      <c r="H621" s="109">
        <f>SUM(J52)</f>
        <v>55639.29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416751.82</v>
      </c>
      <c r="H622" s="109">
        <f>F476</f>
        <v>416751.81999999937</v>
      </c>
      <c r="I622" s="121" t="s">
        <v>101</v>
      </c>
      <c r="J622" s="109">
        <f t="shared" ref="J622:J655" si="50">G622-H622</f>
        <v>6.4028427004814148E-10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47471.9</v>
      </c>
      <c r="H623" s="109">
        <f>G476</f>
        <v>47471.899999999994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34314.879999999997</v>
      </c>
      <c r="H624" s="109">
        <f>H476</f>
        <v>34314.879999999976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55639.29</v>
      </c>
      <c r="H626" s="109">
        <f>J476</f>
        <v>55639.29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8101034.25</v>
      </c>
      <c r="H627" s="104">
        <f>SUM(F468)</f>
        <v>8101034.25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165944.80000000002</v>
      </c>
      <c r="H628" s="104">
        <f>SUM(G468)</f>
        <v>165944.79999999999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193468.00999999998</v>
      </c>
      <c r="H629" s="104">
        <f>SUM(H468)</f>
        <v>193468.00999999998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10023.120000000001</v>
      </c>
      <c r="H631" s="104">
        <f>SUM(J468)</f>
        <v>10023.120000000001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8152074.8500000006</v>
      </c>
      <c r="H632" s="104">
        <f>SUM(F472)</f>
        <v>8152074.8500000006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194776.94</v>
      </c>
      <c r="H633" s="104">
        <f>SUM(H472)</f>
        <v>194776.94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86405.75</v>
      </c>
      <c r="H634" s="104">
        <f>I369</f>
        <v>86405.75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168361.77</v>
      </c>
      <c r="H635" s="104">
        <f>SUM(G472)</f>
        <v>168361.77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10023.120000000001</v>
      </c>
      <c r="H637" s="164">
        <f>SUM(J468)</f>
        <v>10023.120000000001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55639.29</v>
      </c>
      <c r="H640" s="104">
        <f>SUM(G461)</f>
        <v>55639.29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55639.29</v>
      </c>
      <c r="H642" s="104">
        <f>SUM(I461)</f>
        <v>55639.29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23.12</v>
      </c>
      <c r="H644" s="104">
        <f>H408</f>
        <v>23.12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10000</v>
      </c>
      <c r="H645" s="104">
        <f>G408</f>
        <v>10000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10023.120000000001</v>
      </c>
      <c r="H646" s="104">
        <f>L408</f>
        <v>10023.120000000001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325813.17</v>
      </c>
      <c r="H647" s="104">
        <f>L208+L226+L244</f>
        <v>325813.17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90871.239999999991</v>
      </c>
      <c r="H648" s="104">
        <f>(J257+J338)-(J255+J336)</f>
        <v>90871.24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325813.17</v>
      </c>
      <c r="H649" s="104">
        <f>H598</f>
        <v>325813.17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10000</v>
      </c>
      <c r="H655" s="104">
        <f>K266+K347</f>
        <v>10000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8024463.5600000005</v>
      </c>
      <c r="G660" s="19">
        <f>(L229+L309+L359)</f>
        <v>0</v>
      </c>
      <c r="H660" s="19">
        <f>(L247+L328+L360)</f>
        <v>0</v>
      </c>
      <c r="I660" s="19">
        <f>SUM(F660:H660)</f>
        <v>8024463.5600000005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120547.3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120547.3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325813.17</v>
      </c>
      <c r="G662" s="19">
        <f>(L226+L306)-(J226+J306)</f>
        <v>0</v>
      </c>
      <c r="H662" s="19">
        <f>(L244+L325)-(J244+J325)</f>
        <v>0</v>
      </c>
      <c r="I662" s="19">
        <f>SUM(F662:H662)</f>
        <v>325813.17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155832.37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155832.37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7422270.7200000007</v>
      </c>
      <c r="G664" s="19">
        <f>G660-SUM(G661:G663)</f>
        <v>0</v>
      </c>
      <c r="H664" s="19">
        <f>H660-SUM(H661:H663)</f>
        <v>0</v>
      </c>
      <c r="I664" s="19">
        <f>I660-SUM(I661:I663)</f>
        <v>7422270.7200000007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527.6</v>
      </c>
      <c r="G665" s="248"/>
      <c r="H665" s="248"/>
      <c r="I665" s="19">
        <f>SUM(F665:H665)</f>
        <v>527.6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14067.99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14067.99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14067.99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14067.99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Brookline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314" t="s">
        <v>783</v>
      </c>
      <c r="B3" s="314"/>
      <c r="C3" s="314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313" t="s">
        <v>782</v>
      </c>
      <c r="C6" s="313"/>
    </row>
    <row r="7" spans="1:3" x14ac:dyDescent="0.2">
      <c r="A7" s="239" t="s">
        <v>785</v>
      </c>
      <c r="B7" s="311" t="s">
        <v>781</v>
      </c>
      <c r="C7" s="312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2304416.9</v>
      </c>
      <c r="C9" s="229">
        <f>'DOE25'!G197+'DOE25'!G215+'DOE25'!G233+'DOE25'!G276+'DOE25'!G295+'DOE25'!G314</f>
        <v>957415.24</v>
      </c>
    </row>
    <row r="10" spans="1:3" x14ac:dyDescent="0.2">
      <c r="A10" t="s">
        <v>778</v>
      </c>
      <c r="B10" s="240">
        <v>2137772.2200000002</v>
      </c>
      <c r="C10" s="240">
        <v>929990.37</v>
      </c>
    </row>
    <row r="11" spans="1:3" x14ac:dyDescent="0.2">
      <c r="A11" t="s">
        <v>779</v>
      </c>
      <c r="B11" s="240">
        <v>81555.56</v>
      </c>
      <c r="C11" s="240">
        <f>6239+5000</f>
        <v>11239</v>
      </c>
    </row>
    <row r="12" spans="1:3" x14ac:dyDescent="0.2">
      <c r="A12" t="s">
        <v>780</v>
      </c>
      <c r="B12" s="240">
        <v>85089.12</v>
      </c>
      <c r="C12" s="240">
        <f>6509.32+1000+3123+5553.55</f>
        <v>16185.869999999999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2304416.9000000004</v>
      </c>
      <c r="C13" s="231">
        <f>SUM(C10:C12)</f>
        <v>957415.24</v>
      </c>
    </row>
    <row r="14" spans="1:3" x14ac:dyDescent="0.2">
      <c r="B14" s="230"/>
      <c r="C14" s="230"/>
    </row>
    <row r="15" spans="1:3" x14ac:dyDescent="0.2">
      <c r="B15" s="313" t="s">
        <v>782</v>
      </c>
      <c r="C15" s="313"/>
    </row>
    <row r="16" spans="1:3" x14ac:dyDescent="0.2">
      <c r="A16" s="239" t="s">
        <v>786</v>
      </c>
      <c r="B16" s="311" t="s">
        <v>706</v>
      </c>
      <c r="C16" s="312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1016818.5</v>
      </c>
      <c r="C18" s="229">
        <f>'DOE25'!G198+'DOE25'!G216+'DOE25'!G234+'DOE25'!G277+'DOE25'!G296+'DOE25'!G315</f>
        <v>410913.41</v>
      </c>
    </row>
    <row r="19" spans="1:3" x14ac:dyDescent="0.2">
      <c r="A19" t="s">
        <v>778</v>
      </c>
      <c r="B19" s="240">
        <v>555166.09</v>
      </c>
      <c r="C19" s="240">
        <v>356284.72</v>
      </c>
    </row>
    <row r="20" spans="1:3" x14ac:dyDescent="0.2">
      <c r="A20" t="s">
        <v>779</v>
      </c>
      <c r="B20" s="240">
        <v>340061.5</v>
      </c>
      <c r="C20" s="240">
        <f>26014.7+3000</f>
        <v>29014.7</v>
      </c>
    </row>
    <row r="21" spans="1:3" x14ac:dyDescent="0.2">
      <c r="A21" t="s">
        <v>780</v>
      </c>
      <c r="B21" s="240">
        <v>121590.91</v>
      </c>
      <c r="C21" s="240">
        <f>9301.7+16312.29</f>
        <v>25613.99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1016818.5</v>
      </c>
      <c r="C22" s="231">
        <f>SUM(C19:C21)</f>
        <v>410913.41</v>
      </c>
    </row>
    <row r="23" spans="1:3" x14ac:dyDescent="0.2">
      <c r="B23" s="230"/>
      <c r="C23" s="230"/>
    </row>
    <row r="24" spans="1:3" x14ac:dyDescent="0.2">
      <c r="B24" s="313" t="s">
        <v>782</v>
      </c>
      <c r="C24" s="313"/>
    </row>
    <row r="25" spans="1:3" x14ac:dyDescent="0.2">
      <c r="A25" s="239" t="s">
        <v>787</v>
      </c>
      <c r="B25" s="311" t="s">
        <v>707</v>
      </c>
      <c r="C25" s="312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313" t="s">
        <v>782</v>
      </c>
      <c r="C33" s="313"/>
    </row>
    <row r="34" spans="1:3" x14ac:dyDescent="0.2">
      <c r="A34" s="239" t="s">
        <v>788</v>
      </c>
      <c r="B34" s="311" t="s">
        <v>708</v>
      </c>
      <c r="C34" s="312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20" sqref="C2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313" t="s">
        <v>789</v>
      </c>
      <c r="B1" s="318"/>
      <c r="C1" s="318"/>
      <c r="D1" s="318"/>
      <c r="E1" s="318"/>
      <c r="F1" s="318"/>
      <c r="G1" s="318"/>
      <c r="H1" s="318"/>
      <c r="I1" s="181"/>
    </row>
    <row r="2" spans="1:9" x14ac:dyDescent="0.2">
      <c r="A2" s="33" t="s">
        <v>716</v>
      </c>
      <c r="B2" s="265" t="str">
        <f>'DOE25'!A2</f>
        <v>Brookline School District</v>
      </c>
      <c r="C2" s="181"/>
      <c r="D2" s="181" t="s">
        <v>791</v>
      </c>
      <c r="E2" s="181" t="s">
        <v>793</v>
      </c>
      <c r="F2" s="315" t="s">
        <v>820</v>
      </c>
      <c r="G2" s="316"/>
      <c r="H2" s="317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4693426.2</v>
      </c>
      <c r="D5" s="20">
        <f>SUM('DOE25'!L197:L200)+SUM('DOE25'!L215:L218)+SUM('DOE25'!L233:L236)-F5-G5</f>
        <v>4686737.59</v>
      </c>
      <c r="E5" s="243"/>
      <c r="F5" s="255">
        <f>SUM('DOE25'!J197:J200)+SUM('DOE25'!J215:J218)+SUM('DOE25'!J233:J236)</f>
        <v>5506.1100000000006</v>
      </c>
      <c r="G5" s="53">
        <f>SUM('DOE25'!K197:K200)+SUM('DOE25'!K215:K218)+SUM('DOE25'!K233:K236)</f>
        <v>1182.5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817006.9800000001</v>
      </c>
      <c r="D6" s="20">
        <f>'DOE25'!L202+'DOE25'!L220+'DOE25'!L238-F6-G6</f>
        <v>816848.9800000001</v>
      </c>
      <c r="E6" s="243"/>
      <c r="F6" s="255">
        <f>'DOE25'!J202+'DOE25'!J220+'DOE25'!J238</f>
        <v>158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251607.83000000002</v>
      </c>
      <c r="D7" s="20">
        <f>'DOE25'!L203+'DOE25'!L221+'DOE25'!L239-F7-G7</f>
        <v>225429.97000000003</v>
      </c>
      <c r="E7" s="243"/>
      <c r="F7" s="255">
        <f>'DOE25'!J203+'DOE25'!J221+'DOE25'!J239</f>
        <v>26177.86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197416.69</v>
      </c>
      <c r="D8" s="243"/>
      <c r="E8" s="20">
        <f>'DOE25'!L204+'DOE25'!L222+'DOE25'!L240-F8-G8-D9-D11</f>
        <v>197416.69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46737.18</v>
      </c>
      <c r="D9" s="244">
        <v>46737.18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7650</v>
      </c>
      <c r="D10" s="243"/>
      <c r="E10" s="244">
        <v>7650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73703.39</v>
      </c>
      <c r="D11" s="244">
        <v>73703.39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539056.97</v>
      </c>
      <c r="D12" s="20">
        <f>'DOE25'!L205+'DOE25'!L223+'DOE25'!L241-F12-G12</f>
        <v>536487.22</v>
      </c>
      <c r="E12" s="243"/>
      <c r="F12" s="255">
        <f>'DOE25'!J205+'DOE25'!J223+'DOE25'!J241</f>
        <v>1479.75</v>
      </c>
      <c r="G12" s="53">
        <f>'DOE25'!K205+'DOE25'!K223+'DOE25'!K241</f>
        <v>1090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607.20000000000005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607.20000000000005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715949.24</v>
      </c>
      <c r="D14" s="20">
        <f>'DOE25'!L207+'DOE25'!L225+'DOE25'!L243-F14-G14</f>
        <v>696243.97</v>
      </c>
      <c r="E14" s="243"/>
      <c r="F14" s="255">
        <f>'DOE25'!J207+'DOE25'!J225+'DOE25'!J243</f>
        <v>19705.27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325813.17</v>
      </c>
      <c r="D15" s="20">
        <f>'DOE25'!L208+'DOE25'!L226+'DOE25'!L244-F15-G15</f>
        <v>325813.17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480750</v>
      </c>
      <c r="D25" s="243"/>
      <c r="E25" s="243"/>
      <c r="F25" s="258"/>
      <c r="G25" s="256"/>
      <c r="H25" s="257">
        <f>'DOE25'!L260+'DOE25'!L261+'DOE25'!L341+'DOE25'!L342</f>
        <v>480750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88466.76</v>
      </c>
      <c r="D29" s="20">
        <f>'DOE25'!L358+'DOE25'!L359+'DOE25'!L360-'DOE25'!I367-F29-G29</f>
        <v>76271.360000000001</v>
      </c>
      <c r="E29" s="243"/>
      <c r="F29" s="255">
        <f>'DOE25'!J358+'DOE25'!J359+'DOE25'!J360</f>
        <v>12045.4</v>
      </c>
      <c r="G29" s="53">
        <f>'DOE25'!K358+'DOE25'!K359+'DOE25'!K360</f>
        <v>150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194776.94</v>
      </c>
      <c r="D31" s="20">
        <f>'DOE25'!L290+'DOE25'!L309+'DOE25'!L328+'DOE25'!L333+'DOE25'!L334+'DOE25'!L335-F31-G31</f>
        <v>156932.69</v>
      </c>
      <c r="E31" s="243"/>
      <c r="F31" s="255">
        <f>'DOE25'!J290+'DOE25'!J309+'DOE25'!J328+'DOE25'!J333+'DOE25'!J334+'DOE25'!J335</f>
        <v>37844.25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7641205.5199999996</v>
      </c>
      <c r="E33" s="246">
        <f>SUM(E5:E31)</f>
        <v>205066.69</v>
      </c>
      <c r="F33" s="246">
        <f>SUM(F5:F31)</f>
        <v>102916.64000000001</v>
      </c>
      <c r="G33" s="246">
        <f>SUM(G5:G31)</f>
        <v>3029.7</v>
      </c>
      <c r="H33" s="246">
        <f>SUM(H5:H31)</f>
        <v>480750</v>
      </c>
    </row>
    <row r="35" spans="2:8" ht="12" thickBot="1" x14ac:dyDescent="0.25">
      <c r="B35" s="253" t="s">
        <v>846</v>
      </c>
      <c r="D35" s="254">
        <f>E33</f>
        <v>205066.69</v>
      </c>
      <c r="E35" s="249"/>
    </row>
    <row r="36" spans="2:8" ht="12" thickTop="1" x14ac:dyDescent="0.2">
      <c r="B36" t="s">
        <v>814</v>
      </c>
      <c r="D36" s="20">
        <f>D33</f>
        <v>7641205.5199999996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0" sqref="C1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Brookline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511704.67</v>
      </c>
      <c r="D8" s="95">
        <f>'DOE25'!G9</f>
        <v>49089.94</v>
      </c>
      <c r="E8" s="95">
        <f>'DOE25'!H9</f>
        <v>34314.879999999997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390.43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329347.74</v>
      </c>
      <c r="D11" s="95">
        <f>'DOE25'!G12</f>
        <v>0</v>
      </c>
      <c r="E11" s="95">
        <f>'DOE25'!H12</f>
        <v>44675.42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3721.94</v>
      </c>
      <c r="D12" s="95">
        <f>'DOE25'!G13</f>
        <v>2560.4499999999998</v>
      </c>
      <c r="E12" s="95">
        <f>'DOE25'!H13</f>
        <v>0</v>
      </c>
      <c r="F12" s="95">
        <f>'DOE25'!I13</f>
        <v>0</v>
      </c>
      <c r="G12" s="95">
        <f>'DOE25'!J13</f>
        <v>55639.29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9826.3499999999985</v>
      </c>
      <c r="D13" s="95">
        <f>'DOE25'!G14</f>
        <v>15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5021.1499999999996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4347.5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859338.62999999989</v>
      </c>
      <c r="D18" s="41">
        <f>SUM(D8:D17)</f>
        <v>56686.54</v>
      </c>
      <c r="E18" s="41">
        <f>SUM(E8:E17)</f>
        <v>78990.299999999988</v>
      </c>
      <c r="F18" s="41">
        <f>SUM(F8:F17)</f>
        <v>0</v>
      </c>
      <c r="G18" s="41">
        <f>SUM(G8:G17)</f>
        <v>55639.29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330242.08</v>
      </c>
      <c r="D21" s="95">
        <f>'DOE25'!G22</f>
        <v>0</v>
      </c>
      <c r="E21" s="95">
        <f>'DOE25'!H22</f>
        <v>44675.42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1821.91</v>
      </c>
      <c r="D22" s="95">
        <f>'DOE25'!G23</f>
        <v>49.12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54343.38</v>
      </c>
      <c r="D23" s="95">
        <f>'DOE25'!G24</f>
        <v>194.91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43596.09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8970.61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12583.35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442586.80999999994</v>
      </c>
      <c r="D31" s="41">
        <f>SUM(D21:D30)</f>
        <v>9214.6400000000012</v>
      </c>
      <c r="E31" s="41">
        <f>SUM(E21:E30)</f>
        <v>44675.42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5021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4347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42450.9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34314.879999999997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55639.29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35065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237339.82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416751.82</v>
      </c>
      <c r="D50" s="41">
        <f>SUM(D34:D49)</f>
        <v>47471.9</v>
      </c>
      <c r="E50" s="41">
        <f>SUM(E34:E49)</f>
        <v>34314.879999999997</v>
      </c>
      <c r="F50" s="41">
        <f>SUM(F34:F49)</f>
        <v>0</v>
      </c>
      <c r="G50" s="41">
        <f>SUM(G34:G49)</f>
        <v>55639.29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859338.62999999989</v>
      </c>
      <c r="D51" s="41">
        <f>D50+D31</f>
        <v>56686.54</v>
      </c>
      <c r="E51" s="41">
        <f>E50+E31</f>
        <v>78990.299999999988</v>
      </c>
      <c r="F51" s="41">
        <f>F50+F31</f>
        <v>0</v>
      </c>
      <c r="G51" s="41">
        <f>G50+G31</f>
        <v>55639.29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5447638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182435.04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1599.11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23.12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120547.3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18336.45</v>
      </c>
      <c r="D61" s="95">
        <f>SUM('DOE25'!G98:G110)</f>
        <v>0</v>
      </c>
      <c r="E61" s="95">
        <f>SUM('DOE25'!H98:H110)</f>
        <v>11279.58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202370.6</v>
      </c>
      <c r="D62" s="130">
        <f>SUM(D57:D61)</f>
        <v>120547.3</v>
      </c>
      <c r="E62" s="130">
        <f>SUM(E57:E61)</f>
        <v>11279.58</v>
      </c>
      <c r="F62" s="130">
        <f>SUM(F57:F61)</f>
        <v>0</v>
      </c>
      <c r="G62" s="130">
        <f>SUM(G57:G61)</f>
        <v>23.12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5650008.5999999996</v>
      </c>
      <c r="D63" s="22">
        <f>D56+D62</f>
        <v>120547.3</v>
      </c>
      <c r="E63" s="22">
        <f>E56+E62</f>
        <v>11279.58</v>
      </c>
      <c r="F63" s="22">
        <f>F56+F62</f>
        <v>0</v>
      </c>
      <c r="G63" s="22">
        <f>G56+G62</f>
        <v>23.12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1800601.0000000002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573129.24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2373730.2400000002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51566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4000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2367.96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55566</v>
      </c>
      <c r="D78" s="130">
        <f>SUM(D72:D77)</f>
        <v>2367.96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2429296.2400000002</v>
      </c>
      <c r="D81" s="130">
        <f>SUM(D79:D80)+D78+D70</f>
        <v>2367.96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9526.69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47497.66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21729.41</v>
      </c>
      <c r="D88" s="95">
        <f>SUM('DOE25'!G153:G161)</f>
        <v>33502.85</v>
      </c>
      <c r="E88" s="95">
        <f>SUM('DOE25'!H153:H161)</f>
        <v>134690.76999999999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21729.41</v>
      </c>
      <c r="D91" s="131">
        <f>SUM(D85:D90)</f>
        <v>43029.54</v>
      </c>
      <c r="E91" s="131">
        <f>SUM(E85:E90)</f>
        <v>182188.43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764</v>
      </c>
      <c r="C104" s="86">
        <f>C63+C81+C91+C103</f>
        <v>8101034.25</v>
      </c>
      <c r="D104" s="86">
        <f>D63+D81+D91+D103</f>
        <v>165944.80000000002</v>
      </c>
      <c r="E104" s="86">
        <f>E63+E81+E91+E103</f>
        <v>193468.00999999998</v>
      </c>
      <c r="F104" s="86">
        <f>F63+F81+F91+F103</f>
        <v>0</v>
      </c>
      <c r="G104" s="86">
        <f>G63+G81+G103</f>
        <v>10023.120000000001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3300716.99</v>
      </c>
      <c r="D109" s="24" t="s">
        <v>288</v>
      </c>
      <c r="E109" s="95">
        <f>('DOE25'!L276)+('DOE25'!L295)+('DOE25'!L314)</f>
        <v>82103.61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1392709.21</v>
      </c>
      <c r="D110" s="24" t="s">
        <v>288</v>
      </c>
      <c r="E110" s="95">
        <f>('DOE25'!L277)+('DOE25'!L296)+('DOE25'!L315)</f>
        <v>112451.33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4693426.2</v>
      </c>
      <c r="D115" s="86">
        <f>SUM(D109:D114)</f>
        <v>0</v>
      </c>
      <c r="E115" s="86">
        <f>SUM(E109:E114)</f>
        <v>194554.94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817006.9800000001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251607.83000000002</v>
      </c>
      <c r="D119" s="24" t="s">
        <v>288</v>
      </c>
      <c r="E119" s="95">
        <f>+('DOE25'!L282)+('DOE25'!L301)+('DOE25'!L320)</f>
        <v>222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317857.26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539056.97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607.20000000000005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715949.24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325813.17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168361.77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2967898.65</v>
      </c>
      <c r="D128" s="86">
        <f>SUM(D118:D127)</f>
        <v>168361.77</v>
      </c>
      <c r="E128" s="86">
        <f>SUM(E118:E127)</f>
        <v>222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213870.25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266879.75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10023.120000000001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-23.1200000000008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490750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8152074.8499999996</v>
      </c>
      <c r="D145" s="86">
        <f>(D115+D128+D144)</f>
        <v>168361.77</v>
      </c>
      <c r="E145" s="86">
        <f>(E115+E128+E144)</f>
        <v>194776.94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8/12</v>
      </c>
      <c r="C152" s="152" t="str">
        <f>'DOE25'!G491</f>
        <v>8/99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8/22</v>
      </c>
      <c r="C153" s="152" t="str">
        <f>'DOE25'!G492</f>
        <v>8/19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408500</v>
      </c>
      <c r="C154" s="137">
        <f>'DOE25'!G493</f>
        <v>5367912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2.3199999999999998</v>
      </c>
      <c r="C155" s="137">
        <f>'DOE25'!G494</f>
        <v>5.2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265000</v>
      </c>
      <c r="C156" s="137">
        <f>'DOE25'!G495</f>
        <v>660759.85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925759.85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40000</v>
      </c>
      <c r="C158" s="137">
        <f>'DOE25'!G497</f>
        <v>173870.25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213870.25</v>
      </c>
    </row>
    <row r="159" spans="1:9" x14ac:dyDescent="0.2">
      <c r="A159" s="22" t="s">
        <v>35</v>
      </c>
      <c r="B159" s="137">
        <f>'DOE25'!F498</f>
        <v>225000</v>
      </c>
      <c r="C159" s="137">
        <f>'DOE25'!G498</f>
        <v>469948.18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694948.17999999993</v>
      </c>
    </row>
    <row r="160" spans="1:9" x14ac:dyDescent="0.2">
      <c r="A160" s="22" t="s">
        <v>36</v>
      </c>
      <c r="B160" s="137">
        <f>'DOE25'!F499</f>
        <v>24450</v>
      </c>
      <c r="C160" s="137">
        <f>'DOE25'!G499</f>
        <v>826651.82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851101.82</v>
      </c>
    </row>
    <row r="161" spans="1:7" x14ac:dyDescent="0.2">
      <c r="A161" s="22" t="s">
        <v>37</v>
      </c>
      <c r="B161" s="137">
        <f>'DOE25'!F500</f>
        <v>249450</v>
      </c>
      <c r="C161" s="137">
        <f>'DOE25'!G500</f>
        <v>1296600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1546050</v>
      </c>
    </row>
    <row r="162" spans="1:7" x14ac:dyDescent="0.2">
      <c r="A162" s="22" t="s">
        <v>38</v>
      </c>
      <c r="B162" s="137">
        <f>'DOE25'!F501</f>
        <v>40000</v>
      </c>
      <c r="C162" s="137">
        <f>'DOE25'!G501</f>
        <v>165169.13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205169.13</v>
      </c>
    </row>
    <row r="163" spans="1:7" x14ac:dyDescent="0.2">
      <c r="A163" s="22" t="s">
        <v>39</v>
      </c>
      <c r="B163" s="137">
        <f>'DOE25'!F502</f>
        <v>7300</v>
      </c>
      <c r="C163" s="137">
        <f>'DOE25'!G502</f>
        <v>267855.87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275155.87</v>
      </c>
    </row>
    <row r="164" spans="1:7" x14ac:dyDescent="0.2">
      <c r="A164" s="22" t="s">
        <v>246</v>
      </c>
      <c r="B164" s="137">
        <f>'DOE25'!F503</f>
        <v>47300</v>
      </c>
      <c r="C164" s="137">
        <f>'DOE25'!G503</f>
        <v>433025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480325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319" t="s">
        <v>739</v>
      </c>
      <c r="B1" s="319"/>
      <c r="C1" s="319"/>
      <c r="D1" s="319"/>
    </row>
    <row r="2" spans="1:4" x14ac:dyDescent="0.2">
      <c r="A2" s="187" t="s">
        <v>716</v>
      </c>
      <c r="B2" s="186" t="str">
        <f>'DOE25'!A2</f>
        <v>Brookline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14068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14068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3382821</v>
      </c>
      <c r="D10" s="182">
        <f>ROUND((C10/$C$28)*100,1)</f>
        <v>41.4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1505161</v>
      </c>
      <c r="D11" s="182">
        <f>ROUND((C11/$C$28)*100,1)</f>
        <v>18.399999999999999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817007</v>
      </c>
      <c r="D15" s="182">
        <f t="shared" ref="D15:D27" si="0">ROUND((C15/$C$28)*100,1)</f>
        <v>10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251830</v>
      </c>
      <c r="D16" s="182">
        <f t="shared" si="0"/>
        <v>3.1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317857</v>
      </c>
      <c r="D17" s="182">
        <f t="shared" si="0"/>
        <v>3.9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539057</v>
      </c>
      <c r="D18" s="182">
        <f t="shared" si="0"/>
        <v>6.6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607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715949</v>
      </c>
      <c r="D20" s="182">
        <f t="shared" si="0"/>
        <v>8.8000000000000007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325813</v>
      </c>
      <c r="D21" s="182">
        <f t="shared" si="0"/>
        <v>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266880</v>
      </c>
      <c r="D25" s="182">
        <f t="shared" si="0"/>
        <v>3.3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47814.7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8170796.7000000002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8170796.7000000002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213870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5447638</v>
      </c>
      <c r="D35" s="182">
        <f t="shared" ref="D35:D40" si="1">ROUND((C35/$C$41)*100,1)</f>
        <v>65.3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213673.29999999981</v>
      </c>
      <c r="D36" s="182">
        <f t="shared" si="1"/>
        <v>2.6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2373730</v>
      </c>
      <c r="D37" s="182">
        <f t="shared" si="1"/>
        <v>28.5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57934</v>
      </c>
      <c r="D38" s="182">
        <f t="shared" si="1"/>
        <v>0.7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246947</v>
      </c>
      <c r="D39" s="182">
        <f t="shared" si="1"/>
        <v>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8339922.2999999998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324" t="s">
        <v>769</v>
      </c>
      <c r="B1" s="325"/>
      <c r="C1" s="325"/>
      <c r="D1" s="325"/>
      <c r="E1" s="325"/>
      <c r="F1" s="325"/>
      <c r="G1" s="325"/>
      <c r="H1" s="325"/>
      <c r="I1" s="325"/>
      <c r="J1" s="213"/>
      <c r="K1" s="213"/>
      <c r="L1" s="213"/>
      <c r="M1" s="214"/>
    </row>
    <row r="2" spans="1:26" ht="12.75" x14ac:dyDescent="0.2">
      <c r="A2" s="330" t="s">
        <v>766</v>
      </c>
      <c r="B2" s="331"/>
      <c r="C2" s="331"/>
      <c r="D2" s="331"/>
      <c r="E2" s="331"/>
      <c r="F2" s="328" t="str">
        <f>'DOE25'!A2</f>
        <v>Brookline School District</v>
      </c>
      <c r="G2" s="329"/>
      <c r="H2" s="329"/>
      <c r="I2" s="32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326" t="s">
        <v>770</v>
      </c>
      <c r="D3" s="326"/>
      <c r="E3" s="326"/>
      <c r="F3" s="326"/>
      <c r="G3" s="326"/>
      <c r="H3" s="326"/>
      <c r="I3" s="326"/>
      <c r="J3" s="326"/>
      <c r="K3" s="326"/>
      <c r="L3" s="326"/>
      <c r="M3" s="327"/>
    </row>
    <row r="4" spans="1:26" x14ac:dyDescent="0.2">
      <c r="A4" s="218"/>
      <c r="B4" s="219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322"/>
      <c r="D9" s="322"/>
      <c r="E9" s="322"/>
      <c r="F9" s="322"/>
      <c r="G9" s="322"/>
      <c r="H9" s="322"/>
      <c r="I9" s="322"/>
      <c r="J9" s="322"/>
      <c r="K9" s="322"/>
      <c r="L9" s="322"/>
      <c r="M9" s="32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322"/>
      <c r="D16" s="322"/>
      <c r="E16" s="322"/>
      <c r="F16" s="322"/>
      <c r="G16" s="322"/>
      <c r="H16" s="322"/>
      <c r="I16" s="322"/>
      <c r="J16" s="322"/>
      <c r="K16" s="322"/>
      <c r="L16" s="322"/>
      <c r="M16" s="32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322"/>
      <c r="D18" s="322"/>
      <c r="E18" s="322"/>
      <c r="F18" s="322"/>
      <c r="G18" s="322"/>
      <c r="H18" s="322"/>
      <c r="I18" s="322"/>
      <c r="J18" s="322"/>
      <c r="K18" s="322"/>
      <c r="L18" s="322"/>
      <c r="M18" s="32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322"/>
      <c r="D22" s="322"/>
      <c r="E22" s="322"/>
      <c r="F22" s="322"/>
      <c r="G22" s="322"/>
      <c r="H22" s="322"/>
      <c r="I22" s="322"/>
      <c r="J22" s="322"/>
      <c r="K22" s="322"/>
      <c r="L22" s="322"/>
      <c r="M22" s="32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3"/>
      <c r="N29" s="211"/>
      <c r="O29" s="211"/>
      <c r="P29" s="321"/>
      <c r="Q29" s="321"/>
      <c r="R29" s="321"/>
      <c r="S29" s="321"/>
      <c r="T29" s="321"/>
      <c r="U29" s="321"/>
      <c r="V29" s="321"/>
      <c r="W29" s="321"/>
      <c r="X29" s="321"/>
      <c r="Y29" s="321"/>
      <c r="Z29" s="321"/>
      <c r="AA29" s="207"/>
      <c r="AB29" s="207"/>
      <c r="AC29" s="320"/>
      <c r="AD29" s="320"/>
      <c r="AE29" s="320"/>
      <c r="AF29" s="320"/>
      <c r="AG29" s="320"/>
      <c r="AH29" s="320"/>
      <c r="AI29" s="320"/>
      <c r="AJ29" s="320"/>
      <c r="AK29" s="320"/>
      <c r="AL29" s="320"/>
      <c r="AM29" s="320"/>
      <c r="AN29" s="207"/>
      <c r="AO29" s="207"/>
      <c r="AP29" s="320"/>
      <c r="AQ29" s="320"/>
      <c r="AR29" s="320"/>
      <c r="AS29" s="320"/>
      <c r="AT29" s="320"/>
      <c r="AU29" s="320"/>
      <c r="AV29" s="320"/>
      <c r="AW29" s="320"/>
      <c r="AX29" s="320"/>
      <c r="AY29" s="320"/>
      <c r="AZ29" s="320"/>
      <c r="BA29" s="207"/>
      <c r="BB29" s="207"/>
      <c r="BC29" s="320"/>
      <c r="BD29" s="320"/>
      <c r="BE29" s="320"/>
      <c r="BF29" s="320"/>
      <c r="BG29" s="320"/>
      <c r="BH29" s="320"/>
      <c r="BI29" s="320"/>
      <c r="BJ29" s="320"/>
      <c r="BK29" s="320"/>
      <c r="BL29" s="320"/>
      <c r="BM29" s="320"/>
      <c r="BN29" s="207"/>
      <c r="BO29" s="207"/>
      <c r="BP29" s="320"/>
      <c r="BQ29" s="320"/>
      <c r="BR29" s="320"/>
      <c r="BS29" s="320"/>
      <c r="BT29" s="320"/>
      <c r="BU29" s="320"/>
      <c r="BV29" s="320"/>
      <c r="BW29" s="320"/>
      <c r="BX29" s="320"/>
      <c r="BY29" s="320"/>
      <c r="BZ29" s="320"/>
      <c r="CA29" s="207"/>
      <c r="CB29" s="207"/>
      <c r="CC29" s="320"/>
      <c r="CD29" s="320"/>
      <c r="CE29" s="320"/>
      <c r="CF29" s="320"/>
      <c r="CG29" s="320"/>
      <c r="CH29" s="320"/>
      <c r="CI29" s="320"/>
      <c r="CJ29" s="320"/>
      <c r="CK29" s="320"/>
      <c r="CL29" s="320"/>
      <c r="CM29" s="320"/>
      <c r="CN29" s="207"/>
      <c r="CO29" s="207"/>
      <c r="CP29" s="320"/>
      <c r="CQ29" s="320"/>
      <c r="CR29" s="320"/>
      <c r="CS29" s="320"/>
      <c r="CT29" s="320"/>
      <c r="CU29" s="320"/>
      <c r="CV29" s="320"/>
      <c r="CW29" s="320"/>
      <c r="CX29" s="320"/>
      <c r="CY29" s="320"/>
      <c r="CZ29" s="320"/>
      <c r="DA29" s="207"/>
      <c r="DB29" s="207"/>
      <c r="DC29" s="320"/>
      <c r="DD29" s="320"/>
      <c r="DE29" s="320"/>
      <c r="DF29" s="320"/>
      <c r="DG29" s="320"/>
      <c r="DH29" s="320"/>
      <c r="DI29" s="320"/>
      <c r="DJ29" s="320"/>
      <c r="DK29" s="320"/>
      <c r="DL29" s="320"/>
      <c r="DM29" s="320"/>
      <c r="DN29" s="207"/>
      <c r="DO29" s="207"/>
      <c r="DP29" s="320"/>
      <c r="DQ29" s="320"/>
      <c r="DR29" s="320"/>
      <c r="DS29" s="320"/>
      <c r="DT29" s="320"/>
      <c r="DU29" s="320"/>
      <c r="DV29" s="320"/>
      <c r="DW29" s="320"/>
      <c r="DX29" s="320"/>
      <c r="DY29" s="320"/>
      <c r="DZ29" s="320"/>
      <c r="EA29" s="207"/>
      <c r="EB29" s="207"/>
      <c r="EC29" s="320"/>
      <c r="ED29" s="320"/>
      <c r="EE29" s="320"/>
      <c r="EF29" s="320"/>
      <c r="EG29" s="320"/>
      <c r="EH29" s="320"/>
      <c r="EI29" s="320"/>
      <c r="EJ29" s="320"/>
      <c r="EK29" s="320"/>
      <c r="EL29" s="320"/>
      <c r="EM29" s="320"/>
      <c r="EN29" s="207"/>
      <c r="EO29" s="207"/>
      <c r="EP29" s="320"/>
      <c r="EQ29" s="320"/>
      <c r="ER29" s="320"/>
      <c r="ES29" s="320"/>
      <c r="ET29" s="320"/>
      <c r="EU29" s="320"/>
      <c r="EV29" s="320"/>
      <c r="EW29" s="320"/>
      <c r="EX29" s="320"/>
      <c r="EY29" s="320"/>
      <c r="EZ29" s="320"/>
      <c r="FA29" s="207"/>
      <c r="FB29" s="207"/>
      <c r="FC29" s="320"/>
      <c r="FD29" s="320"/>
      <c r="FE29" s="320"/>
      <c r="FF29" s="320"/>
      <c r="FG29" s="320"/>
      <c r="FH29" s="320"/>
      <c r="FI29" s="320"/>
      <c r="FJ29" s="320"/>
      <c r="FK29" s="320"/>
      <c r="FL29" s="320"/>
      <c r="FM29" s="320"/>
      <c r="FN29" s="207"/>
      <c r="FO29" s="207"/>
      <c r="FP29" s="320"/>
      <c r="FQ29" s="320"/>
      <c r="FR29" s="320"/>
      <c r="FS29" s="320"/>
      <c r="FT29" s="320"/>
      <c r="FU29" s="320"/>
      <c r="FV29" s="320"/>
      <c r="FW29" s="320"/>
      <c r="FX29" s="320"/>
      <c r="FY29" s="320"/>
      <c r="FZ29" s="320"/>
      <c r="GA29" s="207"/>
      <c r="GB29" s="207"/>
      <c r="GC29" s="320"/>
      <c r="GD29" s="320"/>
      <c r="GE29" s="320"/>
      <c r="GF29" s="320"/>
      <c r="GG29" s="320"/>
      <c r="GH29" s="320"/>
      <c r="GI29" s="320"/>
      <c r="GJ29" s="320"/>
      <c r="GK29" s="320"/>
      <c r="GL29" s="320"/>
      <c r="GM29" s="320"/>
      <c r="GN29" s="207"/>
      <c r="GO29" s="207"/>
      <c r="GP29" s="320"/>
      <c r="GQ29" s="320"/>
      <c r="GR29" s="320"/>
      <c r="GS29" s="320"/>
      <c r="GT29" s="320"/>
      <c r="GU29" s="320"/>
      <c r="GV29" s="320"/>
      <c r="GW29" s="320"/>
      <c r="GX29" s="320"/>
      <c r="GY29" s="320"/>
      <c r="GZ29" s="320"/>
      <c r="HA29" s="207"/>
      <c r="HB29" s="207"/>
      <c r="HC29" s="320"/>
      <c r="HD29" s="320"/>
      <c r="HE29" s="320"/>
      <c r="HF29" s="320"/>
      <c r="HG29" s="320"/>
      <c r="HH29" s="320"/>
      <c r="HI29" s="320"/>
      <c r="HJ29" s="320"/>
      <c r="HK29" s="320"/>
      <c r="HL29" s="320"/>
      <c r="HM29" s="320"/>
      <c r="HN29" s="207"/>
      <c r="HO29" s="207"/>
      <c r="HP29" s="320"/>
      <c r="HQ29" s="320"/>
      <c r="HR29" s="320"/>
      <c r="HS29" s="320"/>
      <c r="HT29" s="320"/>
      <c r="HU29" s="320"/>
      <c r="HV29" s="320"/>
      <c r="HW29" s="320"/>
      <c r="HX29" s="320"/>
      <c r="HY29" s="320"/>
      <c r="HZ29" s="320"/>
      <c r="IA29" s="207"/>
      <c r="IB29" s="207"/>
      <c r="IC29" s="320"/>
      <c r="ID29" s="320"/>
      <c r="IE29" s="320"/>
      <c r="IF29" s="320"/>
      <c r="IG29" s="320"/>
      <c r="IH29" s="320"/>
      <c r="II29" s="320"/>
      <c r="IJ29" s="320"/>
      <c r="IK29" s="320"/>
      <c r="IL29" s="320"/>
      <c r="IM29" s="320"/>
      <c r="IN29" s="207"/>
      <c r="IO29" s="207"/>
      <c r="IP29" s="320"/>
      <c r="IQ29" s="320"/>
      <c r="IR29" s="320"/>
      <c r="IS29" s="320"/>
      <c r="IT29" s="320"/>
      <c r="IU29" s="320"/>
      <c r="IV29" s="320"/>
    </row>
    <row r="30" spans="1:256" x14ac:dyDescent="0.2">
      <c r="A30" s="218"/>
      <c r="B30" s="219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3"/>
      <c r="N30" s="211"/>
      <c r="O30" s="211"/>
      <c r="P30" s="321"/>
      <c r="Q30" s="321"/>
      <c r="R30" s="321"/>
      <c r="S30" s="321"/>
      <c r="T30" s="321"/>
      <c r="U30" s="321"/>
      <c r="V30" s="321"/>
      <c r="W30" s="321"/>
      <c r="X30" s="321"/>
      <c r="Y30" s="321"/>
      <c r="Z30" s="321"/>
      <c r="AA30" s="207"/>
      <c r="AB30" s="207"/>
      <c r="AC30" s="320"/>
      <c r="AD30" s="320"/>
      <c r="AE30" s="320"/>
      <c r="AF30" s="320"/>
      <c r="AG30" s="320"/>
      <c r="AH30" s="320"/>
      <c r="AI30" s="320"/>
      <c r="AJ30" s="320"/>
      <c r="AK30" s="320"/>
      <c r="AL30" s="320"/>
      <c r="AM30" s="320"/>
      <c r="AN30" s="207"/>
      <c r="AO30" s="207"/>
      <c r="AP30" s="320"/>
      <c r="AQ30" s="320"/>
      <c r="AR30" s="320"/>
      <c r="AS30" s="320"/>
      <c r="AT30" s="320"/>
      <c r="AU30" s="320"/>
      <c r="AV30" s="320"/>
      <c r="AW30" s="320"/>
      <c r="AX30" s="320"/>
      <c r="AY30" s="320"/>
      <c r="AZ30" s="320"/>
      <c r="BA30" s="207"/>
      <c r="BB30" s="207"/>
      <c r="BC30" s="320"/>
      <c r="BD30" s="320"/>
      <c r="BE30" s="320"/>
      <c r="BF30" s="320"/>
      <c r="BG30" s="320"/>
      <c r="BH30" s="320"/>
      <c r="BI30" s="320"/>
      <c r="BJ30" s="320"/>
      <c r="BK30" s="320"/>
      <c r="BL30" s="320"/>
      <c r="BM30" s="320"/>
      <c r="BN30" s="207"/>
      <c r="BO30" s="207"/>
      <c r="BP30" s="320"/>
      <c r="BQ30" s="320"/>
      <c r="BR30" s="320"/>
      <c r="BS30" s="320"/>
      <c r="BT30" s="320"/>
      <c r="BU30" s="320"/>
      <c r="BV30" s="320"/>
      <c r="BW30" s="320"/>
      <c r="BX30" s="320"/>
      <c r="BY30" s="320"/>
      <c r="BZ30" s="320"/>
      <c r="CA30" s="207"/>
      <c r="CB30" s="207"/>
      <c r="CC30" s="320"/>
      <c r="CD30" s="320"/>
      <c r="CE30" s="320"/>
      <c r="CF30" s="320"/>
      <c r="CG30" s="320"/>
      <c r="CH30" s="320"/>
      <c r="CI30" s="320"/>
      <c r="CJ30" s="320"/>
      <c r="CK30" s="320"/>
      <c r="CL30" s="320"/>
      <c r="CM30" s="320"/>
      <c r="CN30" s="207"/>
      <c r="CO30" s="207"/>
      <c r="CP30" s="320"/>
      <c r="CQ30" s="320"/>
      <c r="CR30" s="320"/>
      <c r="CS30" s="320"/>
      <c r="CT30" s="320"/>
      <c r="CU30" s="320"/>
      <c r="CV30" s="320"/>
      <c r="CW30" s="320"/>
      <c r="CX30" s="320"/>
      <c r="CY30" s="320"/>
      <c r="CZ30" s="320"/>
      <c r="DA30" s="207"/>
      <c r="DB30" s="207"/>
      <c r="DC30" s="320"/>
      <c r="DD30" s="320"/>
      <c r="DE30" s="320"/>
      <c r="DF30" s="320"/>
      <c r="DG30" s="320"/>
      <c r="DH30" s="320"/>
      <c r="DI30" s="320"/>
      <c r="DJ30" s="320"/>
      <c r="DK30" s="320"/>
      <c r="DL30" s="320"/>
      <c r="DM30" s="320"/>
      <c r="DN30" s="207"/>
      <c r="DO30" s="207"/>
      <c r="DP30" s="320"/>
      <c r="DQ30" s="320"/>
      <c r="DR30" s="320"/>
      <c r="DS30" s="320"/>
      <c r="DT30" s="320"/>
      <c r="DU30" s="320"/>
      <c r="DV30" s="320"/>
      <c r="DW30" s="320"/>
      <c r="DX30" s="320"/>
      <c r="DY30" s="320"/>
      <c r="DZ30" s="320"/>
      <c r="EA30" s="207"/>
      <c r="EB30" s="207"/>
      <c r="EC30" s="320"/>
      <c r="ED30" s="320"/>
      <c r="EE30" s="320"/>
      <c r="EF30" s="320"/>
      <c r="EG30" s="320"/>
      <c r="EH30" s="320"/>
      <c r="EI30" s="320"/>
      <c r="EJ30" s="320"/>
      <c r="EK30" s="320"/>
      <c r="EL30" s="320"/>
      <c r="EM30" s="320"/>
      <c r="EN30" s="207"/>
      <c r="EO30" s="207"/>
      <c r="EP30" s="320"/>
      <c r="EQ30" s="320"/>
      <c r="ER30" s="320"/>
      <c r="ES30" s="320"/>
      <c r="ET30" s="320"/>
      <c r="EU30" s="320"/>
      <c r="EV30" s="320"/>
      <c r="EW30" s="320"/>
      <c r="EX30" s="320"/>
      <c r="EY30" s="320"/>
      <c r="EZ30" s="320"/>
      <c r="FA30" s="207"/>
      <c r="FB30" s="207"/>
      <c r="FC30" s="320"/>
      <c r="FD30" s="320"/>
      <c r="FE30" s="320"/>
      <c r="FF30" s="320"/>
      <c r="FG30" s="320"/>
      <c r="FH30" s="320"/>
      <c r="FI30" s="320"/>
      <c r="FJ30" s="320"/>
      <c r="FK30" s="320"/>
      <c r="FL30" s="320"/>
      <c r="FM30" s="320"/>
      <c r="FN30" s="207"/>
      <c r="FO30" s="207"/>
      <c r="FP30" s="320"/>
      <c r="FQ30" s="320"/>
      <c r="FR30" s="320"/>
      <c r="FS30" s="320"/>
      <c r="FT30" s="320"/>
      <c r="FU30" s="320"/>
      <c r="FV30" s="320"/>
      <c r="FW30" s="320"/>
      <c r="FX30" s="320"/>
      <c r="FY30" s="320"/>
      <c r="FZ30" s="320"/>
      <c r="GA30" s="207"/>
      <c r="GB30" s="207"/>
      <c r="GC30" s="320"/>
      <c r="GD30" s="320"/>
      <c r="GE30" s="320"/>
      <c r="GF30" s="320"/>
      <c r="GG30" s="320"/>
      <c r="GH30" s="320"/>
      <c r="GI30" s="320"/>
      <c r="GJ30" s="320"/>
      <c r="GK30" s="320"/>
      <c r="GL30" s="320"/>
      <c r="GM30" s="320"/>
      <c r="GN30" s="207"/>
      <c r="GO30" s="207"/>
      <c r="GP30" s="320"/>
      <c r="GQ30" s="320"/>
      <c r="GR30" s="320"/>
      <c r="GS30" s="320"/>
      <c r="GT30" s="320"/>
      <c r="GU30" s="320"/>
      <c r="GV30" s="320"/>
      <c r="GW30" s="320"/>
      <c r="GX30" s="320"/>
      <c r="GY30" s="320"/>
      <c r="GZ30" s="320"/>
      <c r="HA30" s="207"/>
      <c r="HB30" s="207"/>
      <c r="HC30" s="320"/>
      <c r="HD30" s="320"/>
      <c r="HE30" s="320"/>
      <c r="HF30" s="320"/>
      <c r="HG30" s="320"/>
      <c r="HH30" s="320"/>
      <c r="HI30" s="320"/>
      <c r="HJ30" s="320"/>
      <c r="HK30" s="320"/>
      <c r="HL30" s="320"/>
      <c r="HM30" s="320"/>
      <c r="HN30" s="207"/>
      <c r="HO30" s="207"/>
      <c r="HP30" s="320"/>
      <c r="HQ30" s="320"/>
      <c r="HR30" s="320"/>
      <c r="HS30" s="320"/>
      <c r="HT30" s="320"/>
      <c r="HU30" s="320"/>
      <c r="HV30" s="320"/>
      <c r="HW30" s="320"/>
      <c r="HX30" s="320"/>
      <c r="HY30" s="320"/>
      <c r="HZ30" s="320"/>
      <c r="IA30" s="207"/>
      <c r="IB30" s="207"/>
      <c r="IC30" s="320"/>
      <c r="ID30" s="320"/>
      <c r="IE30" s="320"/>
      <c r="IF30" s="320"/>
      <c r="IG30" s="320"/>
      <c r="IH30" s="320"/>
      <c r="II30" s="320"/>
      <c r="IJ30" s="320"/>
      <c r="IK30" s="320"/>
      <c r="IL30" s="320"/>
      <c r="IM30" s="320"/>
      <c r="IN30" s="207"/>
      <c r="IO30" s="207"/>
      <c r="IP30" s="320"/>
      <c r="IQ30" s="320"/>
      <c r="IR30" s="320"/>
      <c r="IS30" s="320"/>
      <c r="IT30" s="320"/>
      <c r="IU30" s="320"/>
      <c r="IV30" s="320"/>
    </row>
    <row r="31" spans="1:256" x14ac:dyDescent="0.2">
      <c r="A31" s="218"/>
      <c r="B31" s="219"/>
      <c r="C31" s="322"/>
      <c r="D31" s="322"/>
      <c r="E31" s="322"/>
      <c r="F31" s="322"/>
      <c r="G31" s="322"/>
      <c r="H31" s="322"/>
      <c r="I31" s="322"/>
      <c r="J31" s="322"/>
      <c r="K31" s="322"/>
      <c r="L31" s="322"/>
      <c r="M31" s="323"/>
      <c r="N31" s="211"/>
      <c r="O31" s="211"/>
      <c r="P31" s="321"/>
      <c r="Q31" s="321"/>
      <c r="R31" s="321"/>
      <c r="S31" s="321"/>
      <c r="T31" s="321"/>
      <c r="U31" s="321"/>
      <c r="V31" s="321"/>
      <c r="W31" s="321"/>
      <c r="X31" s="321"/>
      <c r="Y31" s="321"/>
      <c r="Z31" s="321"/>
      <c r="AA31" s="207"/>
      <c r="AB31" s="207"/>
      <c r="AC31" s="320"/>
      <c r="AD31" s="320"/>
      <c r="AE31" s="320"/>
      <c r="AF31" s="320"/>
      <c r="AG31" s="320"/>
      <c r="AH31" s="320"/>
      <c r="AI31" s="320"/>
      <c r="AJ31" s="320"/>
      <c r="AK31" s="320"/>
      <c r="AL31" s="320"/>
      <c r="AM31" s="320"/>
      <c r="AN31" s="207"/>
      <c r="AO31" s="207"/>
      <c r="AP31" s="320"/>
      <c r="AQ31" s="320"/>
      <c r="AR31" s="320"/>
      <c r="AS31" s="320"/>
      <c r="AT31" s="320"/>
      <c r="AU31" s="320"/>
      <c r="AV31" s="320"/>
      <c r="AW31" s="320"/>
      <c r="AX31" s="320"/>
      <c r="AY31" s="320"/>
      <c r="AZ31" s="320"/>
      <c r="BA31" s="207"/>
      <c r="BB31" s="207"/>
      <c r="BC31" s="320"/>
      <c r="BD31" s="320"/>
      <c r="BE31" s="320"/>
      <c r="BF31" s="320"/>
      <c r="BG31" s="320"/>
      <c r="BH31" s="320"/>
      <c r="BI31" s="320"/>
      <c r="BJ31" s="320"/>
      <c r="BK31" s="320"/>
      <c r="BL31" s="320"/>
      <c r="BM31" s="320"/>
      <c r="BN31" s="207"/>
      <c r="BO31" s="207"/>
      <c r="BP31" s="320"/>
      <c r="BQ31" s="320"/>
      <c r="BR31" s="320"/>
      <c r="BS31" s="320"/>
      <c r="BT31" s="320"/>
      <c r="BU31" s="320"/>
      <c r="BV31" s="320"/>
      <c r="BW31" s="320"/>
      <c r="BX31" s="320"/>
      <c r="BY31" s="320"/>
      <c r="BZ31" s="320"/>
      <c r="CA31" s="207"/>
      <c r="CB31" s="207"/>
      <c r="CC31" s="320"/>
      <c r="CD31" s="320"/>
      <c r="CE31" s="320"/>
      <c r="CF31" s="320"/>
      <c r="CG31" s="320"/>
      <c r="CH31" s="320"/>
      <c r="CI31" s="320"/>
      <c r="CJ31" s="320"/>
      <c r="CK31" s="320"/>
      <c r="CL31" s="320"/>
      <c r="CM31" s="320"/>
      <c r="CN31" s="207"/>
      <c r="CO31" s="207"/>
      <c r="CP31" s="320"/>
      <c r="CQ31" s="320"/>
      <c r="CR31" s="320"/>
      <c r="CS31" s="320"/>
      <c r="CT31" s="320"/>
      <c r="CU31" s="320"/>
      <c r="CV31" s="320"/>
      <c r="CW31" s="320"/>
      <c r="CX31" s="320"/>
      <c r="CY31" s="320"/>
      <c r="CZ31" s="320"/>
      <c r="DA31" s="207"/>
      <c r="DB31" s="207"/>
      <c r="DC31" s="320"/>
      <c r="DD31" s="320"/>
      <c r="DE31" s="320"/>
      <c r="DF31" s="320"/>
      <c r="DG31" s="320"/>
      <c r="DH31" s="320"/>
      <c r="DI31" s="320"/>
      <c r="DJ31" s="320"/>
      <c r="DK31" s="320"/>
      <c r="DL31" s="320"/>
      <c r="DM31" s="320"/>
      <c r="DN31" s="207"/>
      <c r="DO31" s="207"/>
      <c r="DP31" s="320"/>
      <c r="DQ31" s="320"/>
      <c r="DR31" s="320"/>
      <c r="DS31" s="320"/>
      <c r="DT31" s="320"/>
      <c r="DU31" s="320"/>
      <c r="DV31" s="320"/>
      <c r="DW31" s="320"/>
      <c r="DX31" s="320"/>
      <c r="DY31" s="320"/>
      <c r="DZ31" s="320"/>
      <c r="EA31" s="207"/>
      <c r="EB31" s="207"/>
      <c r="EC31" s="320"/>
      <c r="ED31" s="320"/>
      <c r="EE31" s="320"/>
      <c r="EF31" s="320"/>
      <c r="EG31" s="320"/>
      <c r="EH31" s="320"/>
      <c r="EI31" s="320"/>
      <c r="EJ31" s="320"/>
      <c r="EK31" s="320"/>
      <c r="EL31" s="320"/>
      <c r="EM31" s="320"/>
      <c r="EN31" s="207"/>
      <c r="EO31" s="207"/>
      <c r="EP31" s="320"/>
      <c r="EQ31" s="320"/>
      <c r="ER31" s="320"/>
      <c r="ES31" s="320"/>
      <c r="ET31" s="320"/>
      <c r="EU31" s="320"/>
      <c r="EV31" s="320"/>
      <c r="EW31" s="320"/>
      <c r="EX31" s="320"/>
      <c r="EY31" s="320"/>
      <c r="EZ31" s="320"/>
      <c r="FA31" s="207"/>
      <c r="FB31" s="207"/>
      <c r="FC31" s="320"/>
      <c r="FD31" s="320"/>
      <c r="FE31" s="320"/>
      <c r="FF31" s="320"/>
      <c r="FG31" s="320"/>
      <c r="FH31" s="320"/>
      <c r="FI31" s="320"/>
      <c r="FJ31" s="320"/>
      <c r="FK31" s="320"/>
      <c r="FL31" s="320"/>
      <c r="FM31" s="320"/>
      <c r="FN31" s="207"/>
      <c r="FO31" s="207"/>
      <c r="FP31" s="320"/>
      <c r="FQ31" s="320"/>
      <c r="FR31" s="320"/>
      <c r="FS31" s="320"/>
      <c r="FT31" s="320"/>
      <c r="FU31" s="320"/>
      <c r="FV31" s="320"/>
      <c r="FW31" s="320"/>
      <c r="FX31" s="320"/>
      <c r="FY31" s="320"/>
      <c r="FZ31" s="320"/>
      <c r="GA31" s="207"/>
      <c r="GB31" s="207"/>
      <c r="GC31" s="320"/>
      <c r="GD31" s="320"/>
      <c r="GE31" s="320"/>
      <c r="GF31" s="320"/>
      <c r="GG31" s="320"/>
      <c r="GH31" s="320"/>
      <c r="GI31" s="320"/>
      <c r="GJ31" s="320"/>
      <c r="GK31" s="320"/>
      <c r="GL31" s="320"/>
      <c r="GM31" s="320"/>
      <c r="GN31" s="207"/>
      <c r="GO31" s="207"/>
      <c r="GP31" s="320"/>
      <c r="GQ31" s="320"/>
      <c r="GR31" s="320"/>
      <c r="GS31" s="320"/>
      <c r="GT31" s="320"/>
      <c r="GU31" s="320"/>
      <c r="GV31" s="320"/>
      <c r="GW31" s="320"/>
      <c r="GX31" s="320"/>
      <c r="GY31" s="320"/>
      <c r="GZ31" s="320"/>
      <c r="HA31" s="207"/>
      <c r="HB31" s="207"/>
      <c r="HC31" s="320"/>
      <c r="HD31" s="320"/>
      <c r="HE31" s="320"/>
      <c r="HF31" s="320"/>
      <c r="HG31" s="320"/>
      <c r="HH31" s="320"/>
      <c r="HI31" s="320"/>
      <c r="HJ31" s="320"/>
      <c r="HK31" s="320"/>
      <c r="HL31" s="320"/>
      <c r="HM31" s="320"/>
      <c r="HN31" s="207"/>
      <c r="HO31" s="207"/>
      <c r="HP31" s="320"/>
      <c r="HQ31" s="320"/>
      <c r="HR31" s="320"/>
      <c r="HS31" s="320"/>
      <c r="HT31" s="320"/>
      <c r="HU31" s="320"/>
      <c r="HV31" s="320"/>
      <c r="HW31" s="320"/>
      <c r="HX31" s="320"/>
      <c r="HY31" s="320"/>
      <c r="HZ31" s="320"/>
      <c r="IA31" s="207"/>
      <c r="IB31" s="207"/>
      <c r="IC31" s="320"/>
      <c r="ID31" s="320"/>
      <c r="IE31" s="320"/>
      <c r="IF31" s="320"/>
      <c r="IG31" s="320"/>
      <c r="IH31" s="320"/>
      <c r="II31" s="320"/>
      <c r="IJ31" s="320"/>
      <c r="IK31" s="320"/>
      <c r="IL31" s="320"/>
      <c r="IM31" s="320"/>
      <c r="IN31" s="207"/>
      <c r="IO31" s="207"/>
      <c r="IP31" s="320"/>
      <c r="IQ31" s="320"/>
      <c r="IR31" s="320"/>
      <c r="IS31" s="320"/>
      <c r="IT31" s="320"/>
      <c r="IU31" s="320"/>
      <c r="IV31" s="320"/>
    </row>
    <row r="32" spans="1:256" x14ac:dyDescent="0.2">
      <c r="A32" s="218"/>
      <c r="B32" s="219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3"/>
      <c r="N32" s="223"/>
      <c r="O32" s="223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3"/>
      <c r="AA32" s="218"/>
      <c r="AB32" s="219"/>
      <c r="AC32" s="322"/>
      <c r="AD32" s="322"/>
      <c r="AE32" s="322"/>
      <c r="AF32" s="322"/>
      <c r="AG32" s="322"/>
      <c r="AH32" s="322"/>
      <c r="AI32" s="322"/>
      <c r="AJ32" s="322"/>
      <c r="AK32" s="322"/>
      <c r="AL32" s="322"/>
      <c r="AM32" s="323"/>
      <c r="AN32" s="218"/>
      <c r="AO32" s="219"/>
      <c r="AP32" s="322"/>
      <c r="AQ32" s="322"/>
      <c r="AR32" s="322"/>
      <c r="AS32" s="322"/>
      <c r="AT32" s="322"/>
      <c r="AU32" s="322"/>
      <c r="AV32" s="322"/>
      <c r="AW32" s="322"/>
      <c r="AX32" s="322"/>
      <c r="AY32" s="322"/>
      <c r="AZ32" s="323"/>
      <c r="BA32" s="218"/>
      <c r="BB32" s="219"/>
      <c r="BC32" s="322"/>
      <c r="BD32" s="322"/>
      <c r="BE32" s="322"/>
      <c r="BF32" s="322"/>
      <c r="BG32" s="322"/>
      <c r="BH32" s="322"/>
      <c r="BI32" s="322"/>
      <c r="BJ32" s="322"/>
      <c r="BK32" s="322"/>
      <c r="BL32" s="322"/>
      <c r="BM32" s="323"/>
      <c r="BN32" s="218"/>
      <c r="BO32" s="219"/>
      <c r="BP32" s="322"/>
      <c r="BQ32" s="322"/>
      <c r="BR32" s="322"/>
      <c r="BS32" s="322"/>
      <c r="BT32" s="322"/>
      <c r="BU32" s="322"/>
      <c r="BV32" s="322"/>
      <c r="BW32" s="322"/>
      <c r="BX32" s="322"/>
      <c r="BY32" s="322"/>
      <c r="BZ32" s="323"/>
      <c r="CA32" s="218"/>
      <c r="CB32" s="219"/>
      <c r="CC32" s="322"/>
      <c r="CD32" s="322"/>
      <c r="CE32" s="322"/>
      <c r="CF32" s="322"/>
      <c r="CG32" s="322"/>
      <c r="CH32" s="322"/>
      <c r="CI32" s="322"/>
      <c r="CJ32" s="322"/>
      <c r="CK32" s="322"/>
      <c r="CL32" s="322"/>
      <c r="CM32" s="323"/>
      <c r="CN32" s="218"/>
      <c r="CO32" s="219"/>
      <c r="CP32" s="322"/>
      <c r="CQ32" s="322"/>
      <c r="CR32" s="322"/>
      <c r="CS32" s="322"/>
      <c r="CT32" s="322"/>
      <c r="CU32" s="322"/>
      <c r="CV32" s="322"/>
      <c r="CW32" s="322"/>
      <c r="CX32" s="322"/>
      <c r="CY32" s="322"/>
      <c r="CZ32" s="323"/>
      <c r="DA32" s="218"/>
      <c r="DB32" s="219"/>
      <c r="DC32" s="322"/>
      <c r="DD32" s="322"/>
      <c r="DE32" s="322"/>
      <c r="DF32" s="322"/>
      <c r="DG32" s="322"/>
      <c r="DH32" s="322"/>
      <c r="DI32" s="322"/>
      <c r="DJ32" s="322"/>
      <c r="DK32" s="322"/>
      <c r="DL32" s="322"/>
      <c r="DM32" s="323"/>
      <c r="DN32" s="218"/>
      <c r="DO32" s="219"/>
      <c r="DP32" s="322"/>
      <c r="DQ32" s="322"/>
      <c r="DR32" s="322"/>
      <c r="DS32" s="322"/>
      <c r="DT32" s="322"/>
      <c r="DU32" s="322"/>
      <c r="DV32" s="322"/>
      <c r="DW32" s="322"/>
      <c r="DX32" s="322"/>
      <c r="DY32" s="322"/>
      <c r="DZ32" s="323"/>
      <c r="EA32" s="218"/>
      <c r="EB32" s="219"/>
      <c r="EC32" s="322"/>
      <c r="ED32" s="322"/>
      <c r="EE32" s="322"/>
      <c r="EF32" s="322"/>
      <c r="EG32" s="322"/>
      <c r="EH32" s="322"/>
      <c r="EI32" s="322"/>
      <c r="EJ32" s="322"/>
      <c r="EK32" s="322"/>
      <c r="EL32" s="322"/>
      <c r="EM32" s="323"/>
      <c r="EN32" s="218"/>
      <c r="EO32" s="219"/>
      <c r="EP32" s="322"/>
      <c r="EQ32" s="322"/>
      <c r="ER32" s="322"/>
      <c r="ES32" s="322"/>
      <c r="ET32" s="322"/>
      <c r="EU32" s="322"/>
      <c r="EV32" s="322"/>
      <c r="EW32" s="322"/>
      <c r="EX32" s="322"/>
      <c r="EY32" s="322"/>
      <c r="EZ32" s="323"/>
      <c r="FA32" s="218"/>
      <c r="FB32" s="219"/>
      <c r="FC32" s="322"/>
      <c r="FD32" s="322"/>
      <c r="FE32" s="322"/>
      <c r="FF32" s="322"/>
      <c r="FG32" s="322"/>
      <c r="FH32" s="322"/>
      <c r="FI32" s="322"/>
      <c r="FJ32" s="322"/>
      <c r="FK32" s="322"/>
      <c r="FL32" s="322"/>
      <c r="FM32" s="323"/>
      <c r="FN32" s="218"/>
      <c r="FO32" s="219"/>
      <c r="FP32" s="322"/>
      <c r="FQ32" s="322"/>
      <c r="FR32" s="322"/>
      <c r="FS32" s="322"/>
      <c r="FT32" s="322"/>
      <c r="FU32" s="322"/>
      <c r="FV32" s="322"/>
      <c r="FW32" s="322"/>
      <c r="FX32" s="322"/>
      <c r="FY32" s="322"/>
      <c r="FZ32" s="323"/>
      <c r="GA32" s="218"/>
      <c r="GB32" s="219"/>
      <c r="GC32" s="322"/>
      <c r="GD32" s="322"/>
      <c r="GE32" s="322"/>
      <c r="GF32" s="322"/>
      <c r="GG32" s="322"/>
      <c r="GH32" s="322"/>
      <c r="GI32" s="322"/>
      <c r="GJ32" s="322"/>
      <c r="GK32" s="322"/>
      <c r="GL32" s="322"/>
      <c r="GM32" s="323"/>
      <c r="GN32" s="218"/>
      <c r="GO32" s="219"/>
      <c r="GP32" s="322"/>
      <c r="GQ32" s="322"/>
      <c r="GR32" s="322"/>
      <c r="GS32" s="322"/>
      <c r="GT32" s="322"/>
      <c r="GU32" s="322"/>
      <c r="GV32" s="322"/>
      <c r="GW32" s="322"/>
      <c r="GX32" s="322"/>
      <c r="GY32" s="322"/>
      <c r="GZ32" s="323"/>
      <c r="HA32" s="218"/>
      <c r="HB32" s="219"/>
      <c r="HC32" s="322"/>
      <c r="HD32" s="322"/>
      <c r="HE32" s="322"/>
      <c r="HF32" s="322"/>
      <c r="HG32" s="322"/>
      <c r="HH32" s="322"/>
      <c r="HI32" s="322"/>
      <c r="HJ32" s="322"/>
      <c r="HK32" s="322"/>
      <c r="HL32" s="322"/>
      <c r="HM32" s="323"/>
      <c r="HN32" s="218"/>
      <c r="HO32" s="219"/>
      <c r="HP32" s="322"/>
      <c r="HQ32" s="322"/>
      <c r="HR32" s="322"/>
      <c r="HS32" s="322"/>
      <c r="HT32" s="322"/>
      <c r="HU32" s="322"/>
      <c r="HV32" s="322"/>
      <c r="HW32" s="322"/>
      <c r="HX32" s="322"/>
      <c r="HY32" s="322"/>
      <c r="HZ32" s="323"/>
      <c r="IA32" s="218"/>
      <c r="IB32" s="219"/>
      <c r="IC32" s="322"/>
      <c r="ID32" s="322"/>
      <c r="IE32" s="322"/>
      <c r="IF32" s="322"/>
      <c r="IG32" s="322"/>
      <c r="IH32" s="322"/>
      <c r="II32" s="322"/>
      <c r="IJ32" s="322"/>
      <c r="IK32" s="322"/>
      <c r="IL32" s="322"/>
      <c r="IM32" s="323"/>
      <c r="IN32" s="218"/>
      <c r="IO32" s="219"/>
      <c r="IP32" s="322"/>
      <c r="IQ32" s="322"/>
      <c r="IR32" s="322"/>
      <c r="IS32" s="322"/>
      <c r="IT32" s="322"/>
      <c r="IU32" s="322"/>
      <c r="IV32" s="322"/>
    </row>
    <row r="33" spans="1:256" x14ac:dyDescent="0.2">
      <c r="A33" s="218"/>
      <c r="B33" s="219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3"/>
      <c r="N38" s="211"/>
      <c r="O38" s="211"/>
      <c r="P38" s="321"/>
      <c r="Q38" s="321"/>
      <c r="R38" s="321"/>
      <c r="S38" s="321"/>
      <c r="T38" s="321"/>
      <c r="U38" s="321"/>
      <c r="V38" s="321"/>
      <c r="W38" s="321"/>
      <c r="X38" s="321"/>
      <c r="Y38" s="321"/>
      <c r="Z38" s="321"/>
      <c r="AA38" s="207"/>
      <c r="AB38" s="207"/>
      <c r="AC38" s="320"/>
      <c r="AD38" s="320"/>
      <c r="AE38" s="320"/>
      <c r="AF38" s="320"/>
      <c r="AG38" s="320"/>
      <c r="AH38" s="320"/>
      <c r="AI38" s="320"/>
      <c r="AJ38" s="320"/>
      <c r="AK38" s="320"/>
      <c r="AL38" s="320"/>
      <c r="AM38" s="320"/>
      <c r="AN38" s="207"/>
      <c r="AO38" s="207"/>
      <c r="AP38" s="320"/>
      <c r="AQ38" s="320"/>
      <c r="AR38" s="320"/>
      <c r="AS38" s="320"/>
      <c r="AT38" s="320"/>
      <c r="AU38" s="320"/>
      <c r="AV38" s="320"/>
      <c r="AW38" s="320"/>
      <c r="AX38" s="320"/>
      <c r="AY38" s="320"/>
      <c r="AZ38" s="320"/>
      <c r="BA38" s="207"/>
      <c r="BB38" s="207"/>
      <c r="BC38" s="320"/>
      <c r="BD38" s="320"/>
      <c r="BE38" s="320"/>
      <c r="BF38" s="320"/>
      <c r="BG38" s="320"/>
      <c r="BH38" s="320"/>
      <c r="BI38" s="320"/>
      <c r="BJ38" s="320"/>
      <c r="BK38" s="320"/>
      <c r="BL38" s="320"/>
      <c r="BM38" s="320"/>
      <c r="BN38" s="207"/>
      <c r="BO38" s="207"/>
      <c r="BP38" s="320"/>
      <c r="BQ38" s="320"/>
      <c r="BR38" s="320"/>
      <c r="BS38" s="320"/>
      <c r="BT38" s="320"/>
      <c r="BU38" s="320"/>
      <c r="BV38" s="320"/>
      <c r="BW38" s="320"/>
      <c r="BX38" s="320"/>
      <c r="BY38" s="320"/>
      <c r="BZ38" s="320"/>
      <c r="CA38" s="207"/>
      <c r="CB38" s="207"/>
      <c r="CC38" s="320"/>
      <c r="CD38" s="320"/>
      <c r="CE38" s="320"/>
      <c r="CF38" s="320"/>
      <c r="CG38" s="320"/>
      <c r="CH38" s="320"/>
      <c r="CI38" s="320"/>
      <c r="CJ38" s="320"/>
      <c r="CK38" s="320"/>
      <c r="CL38" s="320"/>
      <c r="CM38" s="320"/>
      <c r="CN38" s="207"/>
      <c r="CO38" s="207"/>
      <c r="CP38" s="320"/>
      <c r="CQ38" s="320"/>
      <c r="CR38" s="320"/>
      <c r="CS38" s="320"/>
      <c r="CT38" s="320"/>
      <c r="CU38" s="320"/>
      <c r="CV38" s="320"/>
      <c r="CW38" s="320"/>
      <c r="CX38" s="320"/>
      <c r="CY38" s="320"/>
      <c r="CZ38" s="320"/>
      <c r="DA38" s="207"/>
      <c r="DB38" s="207"/>
      <c r="DC38" s="320"/>
      <c r="DD38" s="320"/>
      <c r="DE38" s="320"/>
      <c r="DF38" s="320"/>
      <c r="DG38" s="320"/>
      <c r="DH38" s="320"/>
      <c r="DI38" s="320"/>
      <c r="DJ38" s="320"/>
      <c r="DK38" s="320"/>
      <c r="DL38" s="320"/>
      <c r="DM38" s="320"/>
      <c r="DN38" s="207"/>
      <c r="DO38" s="207"/>
      <c r="DP38" s="320"/>
      <c r="DQ38" s="320"/>
      <c r="DR38" s="320"/>
      <c r="DS38" s="320"/>
      <c r="DT38" s="320"/>
      <c r="DU38" s="320"/>
      <c r="DV38" s="320"/>
      <c r="DW38" s="320"/>
      <c r="DX38" s="320"/>
      <c r="DY38" s="320"/>
      <c r="DZ38" s="320"/>
      <c r="EA38" s="207"/>
      <c r="EB38" s="207"/>
      <c r="EC38" s="320"/>
      <c r="ED38" s="320"/>
      <c r="EE38" s="320"/>
      <c r="EF38" s="320"/>
      <c r="EG38" s="320"/>
      <c r="EH38" s="320"/>
      <c r="EI38" s="320"/>
      <c r="EJ38" s="320"/>
      <c r="EK38" s="320"/>
      <c r="EL38" s="320"/>
      <c r="EM38" s="320"/>
      <c r="EN38" s="207"/>
      <c r="EO38" s="207"/>
      <c r="EP38" s="320"/>
      <c r="EQ38" s="320"/>
      <c r="ER38" s="320"/>
      <c r="ES38" s="320"/>
      <c r="ET38" s="320"/>
      <c r="EU38" s="320"/>
      <c r="EV38" s="320"/>
      <c r="EW38" s="320"/>
      <c r="EX38" s="320"/>
      <c r="EY38" s="320"/>
      <c r="EZ38" s="320"/>
      <c r="FA38" s="207"/>
      <c r="FB38" s="207"/>
      <c r="FC38" s="320"/>
      <c r="FD38" s="320"/>
      <c r="FE38" s="320"/>
      <c r="FF38" s="320"/>
      <c r="FG38" s="320"/>
      <c r="FH38" s="320"/>
      <c r="FI38" s="320"/>
      <c r="FJ38" s="320"/>
      <c r="FK38" s="320"/>
      <c r="FL38" s="320"/>
      <c r="FM38" s="320"/>
      <c r="FN38" s="207"/>
      <c r="FO38" s="207"/>
      <c r="FP38" s="320"/>
      <c r="FQ38" s="320"/>
      <c r="FR38" s="320"/>
      <c r="FS38" s="320"/>
      <c r="FT38" s="320"/>
      <c r="FU38" s="320"/>
      <c r="FV38" s="320"/>
      <c r="FW38" s="320"/>
      <c r="FX38" s="320"/>
      <c r="FY38" s="320"/>
      <c r="FZ38" s="320"/>
      <c r="GA38" s="207"/>
      <c r="GB38" s="207"/>
      <c r="GC38" s="320"/>
      <c r="GD38" s="320"/>
      <c r="GE38" s="320"/>
      <c r="GF38" s="320"/>
      <c r="GG38" s="320"/>
      <c r="GH38" s="320"/>
      <c r="GI38" s="320"/>
      <c r="GJ38" s="320"/>
      <c r="GK38" s="320"/>
      <c r="GL38" s="320"/>
      <c r="GM38" s="320"/>
      <c r="GN38" s="207"/>
      <c r="GO38" s="207"/>
      <c r="GP38" s="320"/>
      <c r="GQ38" s="320"/>
      <c r="GR38" s="320"/>
      <c r="GS38" s="320"/>
      <c r="GT38" s="320"/>
      <c r="GU38" s="320"/>
      <c r="GV38" s="320"/>
      <c r="GW38" s="320"/>
      <c r="GX38" s="320"/>
      <c r="GY38" s="320"/>
      <c r="GZ38" s="320"/>
      <c r="HA38" s="207"/>
      <c r="HB38" s="207"/>
      <c r="HC38" s="320"/>
      <c r="HD38" s="320"/>
      <c r="HE38" s="320"/>
      <c r="HF38" s="320"/>
      <c r="HG38" s="320"/>
      <c r="HH38" s="320"/>
      <c r="HI38" s="320"/>
      <c r="HJ38" s="320"/>
      <c r="HK38" s="320"/>
      <c r="HL38" s="320"/>
      <c r="HM38" s="320"/>
      <c r="HN38" s="207"/>
      <c r="HO38" s="207"/>
      <c r="HP38" s="320"/>
      <c r="HQ38" s="320"/>
      <c r="HR38" s="320"/>
      <c r="HS38" s="320"/>
      <c r="HT38" s="320"/>
      <c r="HU38" s="320"/>
      <c r="HV38" s="320"/>
      <c r="HW38" s="320"/>
      <c r="HX38" s="320"/>
      <c r="HY38" s="320"/>
      <c r="HZ38" s="320"/>
      <c r="IA38" s="207"/>
      <c r="IB38" s="207"/>
      <c r="IC38" s="320"/>
      <c r="ID38" s="320"/>
      <c r="IE38" s="320"/>
      <c r="IF38" s="320"/>
      <c r="IG38" s="320"/>
      <c r="IH38" s="320"/>
      <c r="II38" s="320"/>
      <c r="IJ38" s="320"/>
      <c r="IK38" s="320"/>
      <c r="IL38" s="320"/>
      <c r="IM38" s="320"/>
      <c r="IN38" s="207"/>
      <c r="IO38" s="207"/>
      <c r="IP38" s="320"/>
      <c r="IQ38" s="320"/>
      <c r="IR38" s="320"/>
      <c r="IS38" s="320"/>
      <c r="IT38" s="320"/>
      <c r="IU38" s="320"/>
      <c r="IV38" s="320"/>
    </row>
    <row r="39" spans="1:256" x14ac:dyDescent="0.2">
      <c r="A39" s="218"/>
      <c r="B39" s="219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3"/>
      <c r="N39" s="211"/>
      <c r="O39" s="211"/>
      <c r="P39" s="321"/>
      <c r="Q39" s="321"/>
      <c r="R39" s="321"/>
      <c r="S39" s="321"/>
      <c r="T39" s="321"/>
      <c r="U39" s="321"/>
      <c r="V39" s="321"/>
      <c r="W39" s="321"/>
      <c r="X39" s="321"/>
      <c r="Y39" s="321"/>
      <c r="Z39" s="321"/>
      <c r="AA39" s="207"/>
      <c r="AB39" s="207"/>
      <c r="AC39" s="320"/>
      <c r="AD39" s="320"/>
      <c r="AE39" s="320"/>
      <c r="AF39" s="320"/>
      <c r="AG39" s="320"/>
      <c r="AH39" s="320"/>
      <c r="AI39" s="320"/>
      <c r="AJ39" s="320"/>
      <c r="AK39" s="320"/>
      <c r="AL39" s="320"/>
      <c r="AM39" s="320"/>
      <c r="AN39" s="207"/>
      <c r="AO39" s="207"/>
      <c r="AP39" s="320"/>
      <c r="AQ39" s="320"/>
      <c r="AR39" s="320"/>
      <c r="AS39" s="320"/>
      <c r="AT39" s="320"/>
      <c r="AU39" s="320"/>
      <c r="AV39" s="320"/>
      <c r="AW39" s="320"/>
      <c r="AX39" s="320"/>
      <c r="AY39" s="320"/>
      <c r="AZ39" s="320"/>
      <c r="BA39" s="207"/>
      <c r="BB39" s="207"/>
      <c r="BC39" s="320"/>
      <c r="BD39" s="320"/>
      <c r="BE39" s="320"/>
      <c r="BF39" s="320"/>
      <c r="BG39" s="320"/>
      <c r="BH39" s="320"/>
      <c r="BI39" s="320"/>
      <c r="BJ39" s="320"/>
      <c r="BK39" s="320"/>
      <c r="BL39" s="320"/>
      <c r="BM39" s="320"/>
      <c r="BN39" s="207"/>
      <c r="BO39" s="207"/>
      <c r="BP39" s="320"/>
      <c r="BQ39" s="320"/>
      <c r="BR39" s="320"/>
      <c r="BS39" s="320"/>
      <c r="BT39" s="320"/>
      <c r="BU39" s="320"/>
      <c r="BV39" s="320"/>
      <c r="BW39" s="320"/>
      <c r="BX39" s="320"/>
      <c r="BY39" s="320"/>
      <c r="BZ39" s="320"/>
      <c r="CA39" s="207"/>
      <c r="CB39" s="207"/>
      <c r="CC39" s="320"/>
      <c r="CD39" s="320"/>
      <c r="CE39" s="320"/>
      <c r="CF39" s="320"/>
      <c r="CG39" s="320"/>
      <c r="CH39" s="320"/>
      <c r="CI39" s="320"/>
      <c r="CJ39" s="320"/>
      <c r="CK39" s="320"/>
      <c r="CL39" s="320"/>
      <c r="CM39" s="320"/>
      <c r="CN39" s="207"/>
      <c r="CO39" s="207"/>
      <c r="CP39" s="320"/>
      <c r="CQ39" s="320"/>
      <c r="CR39" s="320"/>
      <c r="CS39" s="320"/>
      <c r="CT39" s="320"/>
      <c r="CU39" s="320"/>
      <c r="CV39" s="320"/>
      <c r="CW39" s="320"/>
      <c r="CX39" s="320"/>
      <c r="CY39" s="320"/>
      <c r="CZ39" s="320"/>
      <c r="DA39" s="207"/>
      <c r="DB39" s="207"/>
      <c r="DC39" s="320"/>
      <c r="DD39" s="320"/>
      <c r="DE39" s="320"/>
      <c r="DF39" s="320"/>
      <c r="DG39" s="320"/>
      <c r="DH39" s="320"/>
      <c r="DI39" s="320"/>
      <c r="DJ39" s="320"/>
      <c r="DK39" s="320"/>
      <c r="DL39" s="320"/>
      <c r="DM39" s="320"/>
      <c r="DN39" s="207"/>
      <c r="DO39" s="207"/>
      <c r="DP39" s="320"/>
      <c r="DQ39" s="320"/>
      <c r="DR39" s="320"/>
      <c r="DS39" s="320"/>
      <c r="DT39" s="320"/>
      <c r="DU39" s="320"/>
      <c r="DV39" s="320"/>
      <c r="DW39" s="320"/>
      <c r="DX39" s="320"/>
      <c r="DY39" s="320"/>
      <c r="DZ39" s="320"/>
      <c r="EA39" s="207"/>
      <c r="EB39" s="207"/>
      <c r="EC39" s="320"/>
      <c r="ED39" s="320"/>
      <c r="EE39" s="320"/>
      <c r="EF39" s="320"/>
      <c r="EG39" s="320"/>
      <c r="EH39" s="320"/>
      <c r="EI39" s="320"/>
      <c r="EJ39" s="320"/>
      <c r="EK39" s="320"/>
      <c r="EL39" s="320"/>
      <c r="EM39" s="320"/>
      <c r="EN39" s="207"/>
      <c r="EO39" s="207"/>
      <c r="EP39" s="320"/>
      <c r="EQ39" s="320"/>
      <c r="ER39" s="320"/>
      <c r="ES39" s="320"/>
      <c r="ET39" s="320"/>
      <c r="EU39" s="320"/>
      <c r="EV39" s="320"/>
      <c r="EW39" s="320"/>
      <c r="EX39" s="320"/>
      <c r="EY39" s="320"/>
      <c r="EZ39" s="320"/>
      <c r="FA39" s="207"/>
      <c r="FB39" s="207"/>
      <c r="FC39" s="320"/>
      <c r="FD39" s="320"/>
      <c r="FE39" s="320"/>
      <c r="FF39" s="320"/>
      <c r="FG39" s="320"/>
      <c r="FH39" s="320"/>
      <c r="FI39" s="320"/>
      <c r="FJ39" s="320"/>
      <c r="FK39" s="320"/>
      <c r="FL39" s="320"/>
      <c r="FM39" s="320"/>
      <c r="FN39" s="207"/>
      <c r="FO39" s="207"/>
      <c r="FP39" s="320"/>
      <c r="FQ39" s="320"/>
      <c r="FR39" s="320"/>
      <c r="FS39" s="320"/>
      <c r="FT39" s="320"/>
      <c r="FU39" s="320"/>
      <c r="FV39" s="320"/>
      <c r="FW39" s="320"/>
      <c r="FX39" s="320"/>
      <c r="FY39" s="320"/>
      <c r="FZ39" s="320"/>
      <c r="GA39" s="207"/>
      <c r="GB39" s="207"/>
      <c r="GC39" s="320"/>
      <c r="GD39" s="320"/>
      <c r="GE39" s="320"/>
      <c r="GF39" s="320"/>
      <c r="GG39" s="320"/>
      <c r="GH39" s="320"/>
      <c r="GI39" s="320"/>
      <c r="GJ39" s="320"/>
      <c r="GK39" s="320"/>
      <c r="GL39" s="320"/>
      <c r="GM39" s="320"/>
      <c r="GN39" s="207"/>
      <c r="GO39" s="207"/>
      <c r="GP39" s="320"/>
      <c r="GQ39" s="320"/>
      <c r="GR39" s="320"/>
      <c r="GS39" s="320"/>
      <c r="GT39" s="320"/>
      <c r="GU39" s="320"/>
      <c r="GV39" s="320"/>
      <c r="GW39" s="320"/>
      <c r="GX39" s="320"/>
      <c r="GY39" s="320"/>
      <c r="GZ39" s="320"/>
      <c r="HA39" s="207"/>
      <c r="HB39" s="207"/>
      <c r="HC39" s="320"/>
      <c r="HD39" s="320"/>
      <c r="HE39" s="320"/>
      <c r="HF39" s="320"/>
      <c r="HG39" s="320"/>
      <c r="HH39" s="320"/>
      <c r="HI39" s="320"/>
      <c r="HJ39" s="320"/>
      <c r="HK39" s="320"/>
      <c r="HL39" s="320"/>
      <c r="HM39" s="320"/>
      <c r="HN39" s="207"/>
      <c r="HO39" s="207"/>
      <c r="HP39" s="320"/>
      <c r="HQ39" s="320"/>
      <c r="HR39" s="320"/>
      <c r="HS39" s="320"/>
      <c r="HT39" s="320"/>
      <c r="HU39" s="320"/>
      <c r="HV39" s="320"/>
      <c r="HW39" s="320"/>
      <c r="HX39" s="320"/>
      <c r="HY39" s="320"/>
      <c r="HZ39" s="320"/>
      <c r="IA39" s="207"/>
      <c r="IB39" s="207"/>
      <c r="IC39" s="320"/>
      <c r="ID39" s="320"/>
      <c r="IE39" s="320"/>
      <c r="IF39" s="320"/>
      <c r="IG39" s="320"/>
      <c r="IH39" s="320"/>
      <c r="II39" s="320"/>
      <c r="IJ39" s="320"/>
      <c r="IK39" s="320"/>
      <c r="IL39" s="320"/>
      <c r="IM39" s="320"/>
      <c r="IN39" s="207"/>
      <c r="IO39" s="207"/>
      <c r="IP39" s="320"/>
      <c r="IQ39" s="320"/>
      <c r="IR39" s="320"/>
      <c r="IS39" s="320"/>
      <c r="IT39" s="320"/>
      <c r="IU39" s="320"/>
      <c r="IV39" s="320"/>
    </row>
    <row r="40" spans="1:256" x14ac:dyDescent="0.2">
      <c r="A40" s="218"/>
      <c r="B40" s="219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3"/>
      <c r="N40" s="211"/>
      <c r="O40" s="211"/>
      <c r="P40" s="321"/>
      <c r="Q40" s="321"/>
      <c r="R40" s="321"/>
      <c r="S40" s="321"/>
      <c r="T40" s="321"/>
      <c r="U40" s="321"/>
      <c r="V40" s="321"/>
      <c r="W40" s="321"/>
      <c r="X40" s="321"/>
      <c r="Y40" s="321"/>
      <c r="Z40" s="321"/>
      <c r="AA40" s="207"/>
      <c r="AB40" s="207"/>
      <c r="AC40" s="320"/>
      <c r="AD40" s="320"/>
      <c r="AE40" s="320"/>
      <c r="AF40" s="320"/>
      <c r="AG40" s="320"/>
      <c r="AH40" s="320"/>
      <c r="AI40" s="320"/>
      <c r="AJ40" s="320"/>
      <c r="AK40" s="320"/>
      <c r="AL40" s="320"/>
      <c r="AM40" s="320"/>
      <c r="AN40" s="207"/>
      <c r="AO40" s="207"/>
      <c r="AP40" s="320"/>
      <c r="AQ40" s="320"/>
      <c r="AR40" s="320"/>
      <c r="AS40" s="320"/>
      <c r="AT40" s="320"/>
      <c r="AU40" s="320"/>
      <c r="AV40" s="320"/>
      <c r="AW40" s="320"/>
      <c r="AX40" s="320"/>
      <c r="AY40" s="320"/>
      <c r="AZ40" s="320"/>
      <c r="BA40" s="207"/>
      <c r="BB40" s="207"/>
      <c r="BC40" s="320"/>
      <c r="BD40" s="320"/>
      <c r="BE40" s="320"/>
      <c r="BF40" s="320"/>
      <c r="BG40" s="320"/>
      <c r="BH40" s="320"/>
      <c r="BI40" s="320"/>
      <c r="BJ40" s="320"/>
      <c r="BK40" s="320"/>
      <c r="BL40" s="320"/>
      <c r="BM40" s="320"/>
      <c r="BN40" s="207"/>
      <c r="BO40" s="207"/>
      <c r="BP40" s="320"/>
      <c r="BQ40" s="320"/>
      <c r="BR40" s="320"/>
      <c r="BS40" s="320"/>
      <c r="BT40" s="320"/>
      <c r="BU40" s="320"/>
      <c r="BV40" s="320"/>
      <c r="BW40" s="320"/>
      <c r="BX40" s="320"/>
      <c r="BY40" s="320"/>
      <c r="BZ40" s="320"/>
      <c r="CA40" s="207"/>
      <c r="CB40" s="207"/>
      <c r="CC40" s="320"/>
      <c r="CD40" s="320"/>
      <c r="CE40" s="320"/>
      <c r="CF40" s="320"/>
      <c r="CG40" s="320"/>
      <c r="CH40" s="320"/>
      <c r="CI40" s="320"/>
      <c r="CJ40" s="320"/>
      <c r="CK40" s="320"/>
      <c r="CL40" s="320"/>
      <c r="CM40" s="320"/>
      <c r="CN40" s="207"/>
      <c r="CO40" s="207"/>
      <c r="CP40" s="320"/>
      <c r="CQ40" s="320"/>
      <c r="CR40" s="320"/>
      <c r="CS40" s="320"/>
      <c r="CT40" s="320"/>
      <c r="CU40" s="320"/>
      <c r="CV40" s="320"/>
      <c r="CW40" s="320"/>
      <c r="CX40" s="320"/>
      <c r="CY40" s="320"/>
      <c r="CZ40" s="320"/>
      <c r="DA40" s="207"/>
      <c r="DB40" s="207"/>
      <c r="DC40" s="320"/>
      <c r="DD40" s="320"/>
      <c r="DE40" s="320"/>
      <c r="DF40" s="320"/>
      <c r="DG40" s="320"/>
      <c r="DH40" s="320"/>
      <c r="DI40" s="320"/>
      <c r="DJ40" s="320"/>
      <c r="DK40" s="320"/>
      <c r="DL40" s="320"/>
      <c r="DM40" s="320"/>
      <c r="DN40" s="207"/>
      <c r="DO40" s="207"/>
      <c r="DP40" s="320"/>
      <c r="DQ40" s="320"/>
      <c r="DR40" s="320"/>
      <c r="DS40" s="320"/>
      <c r="DT40" s="320"/>
      <c r="DU40" s="320"/>
      <c r="DV40" s="320"/>
      <c r="DW40" s="320"/>
      <c r="DX40" s="320"/>
      <c r="DY40" s="320"/>
      <c r="DZ40" s="320"/>
      <c r="EA40" s="207"/>
      <c r="EB40" s="207"/>
      <c r="EC40" s="320"/>
      <c r="ED40" s="320"/>
      <c r="EE40" s="320"/>
      <c r="EF40" s="320"/>
      <c r="EG40" s="320"/>
      <c r="EH40" s="320"/>
      <c r="EI40" s="320"/>
      <c r="EJ40" s="320"/>
      <c r="EK40" s="320"/>
      <c r="EL40" s="320"/>
      <c r="EM40" s="320"/>
      <c r="EN40" s="207"/>
      <c r="EO40" s="207"/>
      <c r="EP40" s="320"/>
      <c r="EQ40" s="320"/>
      <c r="ER40" s="320"/>
      <c r="ES40" s="320"/>
      <c r="ET40" s="320"/>
      <c r="EU40" s="320"/>
      <c r="EV40" s="320"/>
      <c r="EW40" s="320"/>
      <c r="EX40" s="320"/>
      <c r="EY40" s="320"/>
      <c r="EZ40" s="320"/>
      <c r="FA40" s="207"/>
      <c r="FB40" s="207"/>
      <c r="FC40" s="320"/>
      <c r="FD40" s="320"/>
      <c r="FE40" s="320"/>
      <c r="FF40" s="320"/>
      <c r="FG40" s="320"/>
      <c r="FH40" s="320"/>
      <c r="FI40" s="320"/>
      <c r="FJ40" s="320"/>
      <c r="FK40" s="320"/>
      <c r="FL40" s="320"/>
      <c r="FM40" s="320"/>
      <c r="FN40" s="207"/>
      <c r="FO40" s="207"/>
      <c r="FP40" s="320"/>
      <c r="FQ40" s="320"/>
      <c r="FR40" s="320"/>
      <c r="FS40" s="320"/>
      <c r="FT40" s="320"/>
      <c r="FU40" s="320"/>
      <c r="FV40" s="320"/>
      <c r="FW40" s="320"/>
      <c r="FX40" s="320"/>
      <c r="FY40" s="320"/>
      <c r="FZ40" s="320"/>
      <c r="GA40" s="207"/>
      <c r="GB40" s="207"/>
      <c r="GC40" s="320"/>
      <c r="GD40" s="320"/>
      <c r="GE40" s="320"/>
      <c r="GF40" s="320"/>
      <c r="GG40" s="320"/>
      <c r="GH40" s="320"/>
      <c r="GI40" s="320"/>
      <c r="GJ40" s="320"/>
      <c r="GK40" s="320"/>
      <c r="GL40" s="320"/>
      <c r="GM40" s="320"/>
      <c r="GN40" s="207"/>
      <c r="GO40" s="207"/>
      <c r="GP40" s="320"/>
      <c r="GQ40" s="320"/>
      <c r="GR40" s="320"/>
      <c r="GS40" s="320"/>
      <c r="GT40" s="320"/>
      <c r="GU40" s="320"/>
      <c r="GV40" s="320"/>
      <c r="GW40" s="320"/>
      <c r="GX40" s="320"/>
      <c r="GY40" s="320"/>
      <c r="GZ40" s="320"/>
      <c r="HA40" s="207"/>
      <c r="HB40" s="207"/>
      <c r="HC40" s="320"/>
      <c r="HD40" s="320"/>
      <c r="HE40" s="320"/>
      <c r="HF40" s="320"/>
      <c r="HG40" s="320"/>
      <c r="HH40" s="320"/>
      <c r="HI40" s="320"/>
      <c r="HJ40" s="320"/>
      <c r="HK40" s="320"/>
      <c r="HL40" s="320"/>
      <c r="HM40" s="320"/>
      <c r="HN40" s="207"/>
      <c r="HO40" s="207"/>
      <c r="HP40" s="320"/>
      <c r="HQ40" s="320"/>
      <c r="HR40" s="320"/>
      <c r="HS40" s="320"/>
      <c r="HT40" s="320"/>
      <c r="HU40" s="320"/>
      <c r="HV40" s="320"/>
      <c r="HW40" s="320"/>
      <c r="HX40" s="320"/>
      <c r="HY40" s="320"/>
      <c r="HZ40" s="320"/>
      <c r="IA40" s="207"/>
      <c r="IB40" s="207"/>
      <c r="IC40" s="320"/>
      <c r="ID40" s="320"/>
      <c r="IE40" s="320"/>
      <c r="IF40" s="320"/>
      <c r="IG40" s="320"/>
      <c r="IH40" s="320"/>
      <c r="II40" s="320"/>
      <c r="IJ40" s="320"/>
      <c r="IK40" s="320"/>
      <c r="IL40" s="320"/>
      <c r="IM40" s="320"/>
      <c r="IN40" s="207"/>
      <c r="IO40" s="207"/>
      <c r="IP40" s="320"/>
      <c r="IQ40" s="320"/>
      <c r="IR40" s="320"/>
      <c r="IS40" s="320"/>
      <c r="IT40" s="320"/>
      <c r="IU40" s="320"/>
      <c r="IV40" s="320"/>
    </row>
    <row r="41" spans="1:256" x14ac:dyDescent="0.2">
      <c r="A41" s="218"/>
      <c r="B41" s="219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322"/>
      <c r="D56" s="322"/>
      <c r="E56" s="322"/>
      <c r="F56" s="322"/>
      <c r="G56" s="322"/>
      <c r="H56" s="322"/>
      <c r="I56" s="322"/>
      <c r="J56" s="322"/>
      <c r="K56" s="322"/>
      <c r="L56" s="322"/>
      <c r="M56" s="32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3"/>
    </row>
    <row r="60" spans="1:256" x14ac:dyDescent="0.2">
      <c r="A60" s="218"/>
      <c r="B60" s="219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3"/>
    </row>
    <row r="61" spans="1:256" x14ac:dyDescent="0.2">
      <c r="A61" s="218"/>
      <c r="B61" s="219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3"/>
    </row>
    <row r="62" spans="1:256" x14ac:dyDescent="0.2">
      <c r="A62" s="218"/>
      <c r="B62" s="219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3"/>
    </row>
    <row r="63" spans="1:256" x14ac:dyDescent="0.2">
      <c r="A63" s="218"/>
      <c r="B63" s="219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3"/>
    </row>
    <row r="64" spans="1:256" x14ac:dyDescent="0.2">
      <c r="A64" s="218"/>
      <c r="B64" s="219"/>
      <c r="C64" s="322"/>
      <c r="D64" s="322"/>
      <c r="E64" s="322"/>
      <c r="F64" s="322"/>
      <c r="G64" s="322"/>
      <c r="H64" s="322"/>
      <c r="I64" s="322"/>
      <c r="J64" s="322"/>
      <c r="K64" s="322"/>
      <c r="L64" s="322"/>
      <c r="M64" s="323"/>
    </row>
    <row r="65" spans="1:13" x14ac:dyDescent="0.2">
      <c r="A65" s="218"/>
      <c r="B65" s="219"/>
      <c r="C65" s="322"/>
      <c r="D65" s="322"/>
      <c r="E65" s="322"/>
      <c r="F65" s="322"/>
      <c r="G65" s="322"/>
      <c r="H65" s="322"/>
      <c r="I65" s="322"/>
      <c r="J65" s="322"/>
      <c r="K65" s="322"/>
      <c r="L65" s="322"/>
      <c r="M65" s="323"/>
    </row>
    <row r="66" spans="1:13" x14ac:dyDescent="0.2">
      <c r="A66" s="218"/>
      <c r="B66" s="219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3"/>
    </row>
    <row r="67" spans="1:13" x14ac:dyDescent="0.2">
      <c r="A67" s="218"/>
      <c r="B67" s="219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3"/>
    </row>
    <row r="68" spans="1:13" x14ac:dyDescent="0.2">
      <c r="A68" s="218"/>
      <c r="B68" s="219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3"/>
    </row>
    <row r="69" spans="1:13" x14ac:dyDescent="0.2">
      <c r="A69" s="218"/>
      <c r="B69" s="219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3"/>
    </row>
    <row r="70" spans="1:13" ht="12" thickBot="1" x14ac:dyDescent="0.25">
      <c r="A70" s="220"/>
      <c r="B70" s="221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37" t="s">
        <v>847</v>
      </c>
      <c r="B72" s="337"/>
      <c r="C72" s="337"/>
      <c r="D72" s="337"/>
      <c r="E72" s="33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</row>
    <row r="74" spans="1:13" x14ac:dyDescent="0.2">
      <c r="A74" s="211"/>
      <c r="B74" s="211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</row>
    <row r="75" spans="1:13" x14ac:dyDescent="0.2">
      <c r="A75" s="211"/>
      <c r="B75" s="211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</row>
    <row r="76" spans="1:13" x14ac:dyDescent="0.2">
      <c r="A76" s="211"/>
      <c r="B76" s="211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</row>
    <row r="77" spans="1:13" x14ac:dyDescent="0.2">
      <c r="A77" s="211"/>
      <c r="B77" s="211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</row>
    <row r="78" spans="1:13" x14ac:dyDescent="0.2">
      <c r="A78" s="211"/>
      <c r="B78" s="211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</row>
    <row r="79" spans="1:13" x14ac:dyDescent="0.2">
      <c r="A79" s="211"/>
      <c r="B79" s="211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</row>
    <row r="80" spans="1:13" x14ac:dyDescent="0.2">
      <c r="A80" s="211"/>
      <c r="B80" s="211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</row>
    <row r="81" spans="1:13" x14ac:dyDescent="0.2">
      <c r="A81" s="211"/>
      <c r="B81" s="211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</row>
    <row r="82" spans="1:13" x14ac:dyDescent="0.2">
      <c r="A82" s="211"/>
      <c r="B82" s="211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</row>
    <row r="83" spans="1:13" x14ac:dyDescent="0.2">
      <c r="A83" s="211"/>
      <c r="B83" s="211"/>
      <c r="C83" s="334"/>
      <c r="D83" s="334"/>
      <c r="E83" s="334"/>
      <c r="F83" s="334"/>
      <c r="G83" s="334"/>
      <c r="H83" s="334"/>
      <c r="I83" s="334"/>
      <c r="J83" s="334"/>
      <c r="K83" s="334"/>
      <c r="L83" s="334"/>
      <c r="M83" s="334"/>
    </row>
    <row r="84" spans="1:13" x14ac:dyDescent="0.2">
      <c r="A84" s="211"/>
      <c r="B84" s="211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</row>
    <row r="85" spans="1:13" x14ac:dyDescent="0.2">
      <c r="A85" s="211"/>
      <c r="B85" s="211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</row>
    <row r="86" spans="1:13" x14ac:dyDescent="0.2">
      <c r="A86" s="211"/>
      <c r="B86" s="211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</row>
    <row r="87" spans="1:13" x14ac:dyDescent="0.2">
      <c r="A87" s="211"/>
      <c r="B87" s="211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</row>
    <row r="88" spans="1:13" x14ac:dyDescent="0.2">
      <c r="A88" s="211"/>
      <c r="B88" s="211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</row>
    <row r="89" spans="1:13" x14ac:dyDescent="0.2">
      <c r="A89" s="211"/>
      <c r="B89" s="211"/>
      <c r="C89" s="334"/>
      <c r="D89" s="334"/>
      <c r="E89" s="334"/>
      <c r="F89" s="334"/>
      <c r="G89" s="334"/>
      <c r="H89" s="334"/>
      <c r="I89" s="334"/>
      <c r="J89" s="334"/>
      <c r="K89" s="334"/>
      <c r="L89" s="334"/>
      <c r="M89" s="334"/>
    </row>
    <row r="90" spans="1:13" x14ac:dyDescent="0.2">
      <c r="A90" s="211"/>
      <c r="B90" s="211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2017-09-18T11:42:26Z</cp:lastPrinted>
  <dcterms:created xsi:type="dcterms:W3CDTF">1997-12-04T19:04:30Z</dcterms:created>
  <dcterms:modified xsi:type="dcterms:W3CDTF">2017-11-29T17:11:04Z</dcterms:modified>
</cp:coreProperties>
</file>