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19200" windowHeight="676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82" i="1" l="1"/>
  <c r="H613" i="1"/>
  <c r="H612" i="1"/>
  <c r="H611" i="1"/>
  <c r="F582" i="1" l="1"/>
  <c r="H579" i="1"/>
  <c r="G579" i="1"/>
  <c r="F579" i="1"/>
  <c r="C20" i="12"/>
  <c r="C21" i="12"/>
  <c r="C19" i="12"/>
  <c r="B19" i="12"/>
  <c r="B20" i="12"/>
  <c r="B10" i="12"/>
  <c r="H526" i="1"/>
  <c r="H523" i="1"/>
  <c r="H522" i="1"/>
  <c r="H521" i="1"/>
  <c r="G521" i="1"/>
  <c r="H531" i="1"/>
  <c r="I282" i="1" l="1"/>
  <c r="H281" i="1"/>
  <c r="H198" i="1"/>
  <c r="H234" i="1"/>
  <c r="H202" i="1"/>
  <c r="H209" i="1"/>
  <c r="H207" i="1"/>
  <c r="H205" i="1"/>
  <c r="H204" i="1"/>
  <c r="H203" i="1"/>
  <c r="G203" i="1"/>
  <c r="F203" i="1"/>
  <c r="K202" i="1"/>
  <c r="I202" i="1"/>
  <c r="G202" i="1"/>
  <c r="J202" i="1"/>
  <c r="F202" i="1"/>
  <c r="K200" i="1"/>
  <c r="J200" i="1"/>
  <c r="H200" i="1"/>
  <c r="G200" i="1"/>
  <c r="F200" i="1"/>
  <c r="I200" i="1"/>
  <c r="I198" i="1"/>
  <c r="G198" i="1"/>
  <c r="F198" i="1"/>
  <c r="K198" i="1"/>
  <c r="J19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D50" i="2" s="1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C122" i="2" s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C13" i="10" s="1"/>
  <c r="L215" i="1"/>
  <c r="L216" i="1"/>
  <c r="L229" i="1" s="1"/>
  <c r="L217" i="1"/>
  <c r="L218" i="1"/>
  <c r="L233" i="1"/>
  <c r="L234" i="1"/>
  <c r="L247" i="1" s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C18" i="10" s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D127" i="2" s="1"/>
  <c r="D128" i="2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E119" i="2" s="1"/>
  <c r="L283" i="1"/>
  <c r="L284" i="1"/>
  <c r="L285" i="1"/>
  <c r="L286" i="1"/>
  <c r="L287" i="1"/>
  <c r="L288" i="1"/>
  <c r="C17" i="10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28" i="1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A31" i="12" s="1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C35" i="10" s="1"/>
  <c r="H60" i="1"/>
  <c r="I60" i="1"/>
  <c r="F79" i="1"/>
  <c r="F94" i="1"/>
  <c r="C58" i="2" s="1"/>
  <c r="F111" i="1"/>
  <c r="G111" i="1"/>
  <c r="H79" i="1"/>
  <c r="H94" i="1"/>
  <c r="H112" i="1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G147" i="1"/>
  <c r="D85" i="2" s="1"/>
  <c r="G162" i="1"/>
  <c r="H147" i="1"/>
  <c r="H162" i="1"/>
  <c r="I147" i="1"/>
  <c r="I169" i="1" s="1"/>
  <c r="I162" i="1"/>
  <c r="C10" i="10"/>
  <c r="C12" i="10"/>
  <c r="C21" i="10"/>
  <c r="L250" i="1"/>
  <c r="L332" i="1"/>
  <c r="L254" i="1"/>
  <c r="C25" i="10"/>
  <c r="L268" i="1"/>
  <c r="L269" i="1"/>
  <c r="L349" i="1"/>
  <c r="L350" i="1"/>
  <c r="E143" i="2" s="1"/>
  <c r="I665" i="1"/>
  <c r="I670" i="1"/>
  <c r="H661" i="1"/>
  <c r="F662" i="1"/>
  <c r="H662" i="1"/>
  <c r="I669" i="1"/>
  <c r="C42" i="10"/>
  <c r="L374" i="1"/>
  <c r="L375" i="1"/>
  <c r="C29" i="10" s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F552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E56" i="2"/>
  <c r="F56" i="2"/>
  <c r="C57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C91" i="2" s="1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0" i="2"/>
  <c r="C111" i="2"/>
  <c r="E111" i="2"/>
  <c r="E112" i="2"/>
  <c r="C113" i="2"/>
  <c r="E113" i="2"/>
  <c r="E114" i="2"/>
  <c r="D115" i="2"/>
  <c r="F115" i="2"/>
  <c r="G115" i="2"/>
  <c r="E118" i="2"/>
  <c r="C120" i="2"/>
  <c r="E120" i="2"/>
  <c r="C121" i="2"/>
  <c r="E121" i="2"/>
  <c r="E122" i="2"/>
  <c r="E123" i="2"/>
  <c r="E124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G192" i="1" s="1"/>
  <c r="H188" i="1"/>
  <c r="I188" i="1"/>
  <c r="F211" i="1"/>
  <c r="F257" i="1" s="1"/>
  <c r="F271" i="1" s="1"/>
  <c r="G211" i="1"/>
  <c r="G257" i="1" s="1"/>
  <c r="G271" i="1" s="1"/>
  <c r="H211" i="1"/>
  <c r="I211" i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J639" i="1" s="1"/>
  <c r="G446" i="1"/>
  <c r="H446" i="1"/>
  <c r="F452" i="1"/>
  <c r="G452" i="1"/>
  <c r="H452" i="1"/>
  <c r="F460" i="1"/>
  <c r="G460" i="1"/>
  <c r="G461" i="1" s="1"/>
  <c r="H640" i="1" s="1"/>
  <c r="H460" i="1"/>
  <c r="F461" i="1"/>
  <c r="H639" i="1" s="1"/>
  <c r="H461" i="1"/>
  <c r="H641" i="1" s="1"/>
  <c r="F470" i="1"/>
  <c r="G470" i="1"/>
  <c r="G476" i="1" s="1"/>
  <c r="H623" i="1" s="1"/>
  <c r="H470" i="1"/>
  <c r="I470" i="1"/>
  <c r="J470" i="1"/>
  <c r="F474" i="1"/>
  <c r="F476" i="1" s="1"/>
  <c r="H622" i="1" s="1"/>
  <c r="G474" i="1"/>
  <c r="H474" i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0" i="1"/>
  <c r="G641" i="1"/>
  <c r="J641" i="1" s="1"/>
  <c r="G643" i="1"/>
  <c r="J643" i="1" s="1"/>
  <c r="H643" i="1"/>
  <c r="G644" i="1"/>
  <c r="H644" i="1"/>
  <c r="J644" i="1" s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L256" i="1"/>
  <c r="G164" i="2"/>
  <c r="C26" i="10"/>
  <c r="L351" i="1"/>
  <c r="D12" i="13"/>
  <c r="C12" i="13" s="1"/>
  <c r="D62" i="2"/>
  <c r="D18" i="13"/>
  <c r="C18" i="13" s="1"/>
  <c r="D7" i="13"/>
  <c r="C7" i="13" s="1"/>
  <c r="D17" i="13"/>
  <c r="C17" i="13" s="1"/>
  <c r="E8" i="13"/>
  <c r="C8" i="13" s="1"/>
  <c r="F78" i="2"/>
  <c r="F81" i="2" s="1"/>
  <c r="C78" i="2"/>
  <c r="F18" i="2"/>
  <c r="G156" i="2"/>
  <c r="E103" i="2"/>
  <c r="E62" i="2"/>
  <c r="E63" i="2" s="1"/>
  <c r="G62" i="2"/>
  <c r="D19" i="13"/>
  <c r="C19" i="13" s="1"/>
  <c r="E13" i="13"/>
  <c r="C13" i="13" s="1"/>
  <c r="E78" i="2"/>
  <c r="E81" i="2" s="1"/>
  <c r="J257" i="1"/>
  <c r="J271" i="1" s="1"/>
  <c r="F112" i="1"/>
  <c r="J571" i="1"/>
  <c r="D81" i="2"/>
  <c r="H169" i="1"/>
  <c r="F169" i="1"/>
  <c r="I552" i="1"/>
  <c r="G22" i="2"/>
  <c r="L401" i="1"/>
  <c r="C139" i="2" s="1"/>
  <c r="F22" i="13"/>
  <c r="H25" i="13"/>
  <c r="C25" i="13" s="1"/>
  <c r="H571" i="1"/>
  <c r="F338" i="1"/>
  <c r="F352" i="1" s="1"/>
  <c r="L309" i="1"/>
  <c r="E16" i="13"/>
  <c r="I571" i="1"/>
  <c r="G36" i="2"/>
  <c r="L565" i="1"/>
  <c r="K551" i="1"/>
  <c r="C22" i="13"/>
  <c r="H33" i="13"/>
  <c r="J552" i="1" l="1"/>
  <c r="J651" i="1"/>
  <c r="G552" i="1"/>
  <c r="K549" i="1"/>
  <c r="K545" i="1"/>
  <c r="H552" i="1"/>
  <c r="J545" i="1"/>
  <c r="H545" i="1"/>
  <c r="G545" i="1"/>
  <c r="F571" i="1"/>
  <c r="K605" i="1"/>
  <c r="G648" i="1" s="1"/>
  <c r="L290" i="1"/>
  <c r="L338" i="1" s="1"/>
  <c r="L352" i="1" s="1"/>
  <c r="G633" i="1" s="1"/>
  <c r="J633" i="1" s="1"/>
  <c r="E125" i="2"/>
  <c r="E128" i="2" s="1"/>
  <c r="C16" i="10"/>
  <c r="E115" i="2"/>
  <c r="F661" i="1"/>
  <c r="J623" i="1"/>
  <c r="K598" i="1"/>
  <c r="G647" i="1" s="1"/>
  <c r="J647" i="1" s="1"/>
  <c r="J649" i="1"/>
  <c r="H476" i="1"/>
  <c r="H624" i="1" s="1"/>
  <c r="I369" i="1"/>
  <c r="H634" i="1" s="1"/>
  <c r="J634" i="1" s="1"/>
  <c r="C11" i="10"/>
  <c r="H257" i="1"/>
  <c r="H271" i="1" s="1"/>
  <c r="C124" i="2"/>
  <c r="D14" i="13"/>
  <c r="C14" i="13" s="1"/>
  <c r="E33" i="13"/>
  <c r="D35" i="13" s="1"/>
  <c r="C118" i="2"/>
  <c r="A40" i="12"/>
  <c r="I257" i="1"/>
  <c r="I271" i="1" s="1"/>
  <c r="C110" i="2"/>
  <c r="D5" i="13"/>
  <c r="C5" i="13" s="1"/>
  <c r="G661" i="1"/>
  <c r="D91" i="2"/>
  <c r="G645" i="1"/>
  <c r="J645" i="1"/>
  <c r="L419" i="1"/>
  <c r="J476" i="1"/>
  <c r="H626" i="1" s="1"/>
  <c r="J640" i="1"/>
  <c r="H52" i="1"/>
  <c r="H619" i="1" s="1"/>
  <c r="J619" i="1" s="1"/>
  <c r="E31" i="2"/>
  <c r="D31" i="2"/>
  <c r="D51" i="2" s="1"/>
  <c r="D18" i="2"/>
  <c r="J622" i="1"/>
  <c r="C70" i="2"/>
  <c r="J617" i="1"/>
  <c r="C18" i="2"/>
  <c r="H660" i="1"/>
  <c r="H664" i="1" s="1"/>
  <c r="H667" i="1" s="1"/>
  <c r="C16" i="13"/>
  <c r="K550" i="1"/>
  <c r="D29" i="13"/>
  <c r="C29" i="13" s="1"/>
  <c r="C81" i="2"/>
  <c r="G624" i="1"/>
  <c r="L534" i="1"/>
  <c r="K500" i="1"/>
  <c r="I460" i="1"/>
  <c r="I452" i="1"/>
  <c r="I446" i="1"/>
  <c r="G642" i="1" s="1"/>
  <c r="D145" i="2"/>
  <c r="C123" i="2"/>
  <c r="C119" i="2"/>
  <c r="C112" i="2"/>
  <c r="F85" i="2"/>
  <c r="L211" i="1"/>
  <c r="L257" i="1" s="1"/>
  <c r="L271" i="1" s="1"/>
  <c r="G632" i="1" s="1"/>
  <c r="J632" i="1" s="1"/>
  <c r="L362" i="1"/>
  <c r="C27" i="10" s="1"/>
  <c r="G81" i="2"/>
  <c r="C62" i="2"/>
  <c r="C63" i="2" s="1"/>
  <c r="D56" i="2"/>
  <c r="D63" i="2" s="1"/>
  <c r="G662" i="1"/>
  <c r="I662" i="1" s="1"/>
  <c r="C19" i="10"/>
  <c r="C15" i="10"/>
  <c r="G112" i="1"/>
  <c r="C36" i="10" s="1"/>
  <c r="K503" i="1"/>
  <c r="L382" i="1"/>
  <c r="G636" i="1" s="1"/>
  <c r="J636" i="1" s="1"/>
  <c r="D6" i="13"/>
  <c r="C6" i="13" s="1"/>
  <c r="D15" i="13"/>
  <c r="C15" i="13" s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D103" i="2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I663" i="1"/>
  <c r="K552" i="1" l="1"/>
  <c r="L545" i="1"/>
  <c r="E145" i="2"/>
  <c r="I661" i="1"/>
  <c r="G635" i="1"/>
  <c r="J635" i="1" s="1"/>
  <c r="J624" i="1"/>
  <c r="H672" i="1"/>
  <c r="C6" i="10" s="1"/>
  <c r="C128" i="2"/>
  <c r="C28" i="10"/>
  <c r="D22" i="10" s="1"/>
  <c r="C115" i="2"/>
  <c r="G664" i="1"/>
  <c r="G667" i="1" s="1"/>
  <c r="H646" i="1"/>
  <c r="E51" i="2"/>
  <c r="C104" i="2"/>
  <c r="D104" i="2"/>
  <c r="I461" i="1"/>
  <c r="H642" i="1" s="1"/>
  <c r="J642" i="1" s="1"/>
  <c r="D31" i="13"/>
  <c r="C31" i="13" s="1"/>
  <c r="F660" i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23" i="10" l="1"/>
  <c r="D10" i="10"/>
  <c r="D26" i="10"/>
  <c r="D24" i="10"/>
  <c r="C145" i="2"/>
  <c r="D17" i="10"/>
  <c r="D25" i="10"/>
  <c r="D20" i="10"/>
  <c r="D12" i="10"/>
  <c r="D27" i="10"/>
  <c r="D15" i="10"/>
  <c r="D16" i="10"/>
  <c r="D18" i="10"/>
  <c r="C30" i="10"/>
  <c r="D19" i="10"/>
  <c r="D13" i="10"/>
  <c r="D11" i="10"/>
  <c r="D21" i="10"/>
  <c r="G672" i="1"/>
  <c r="C5" i="10" s="1"/>
  <c r="D33" i="13"/>
  <c r="D36" i="13" s="1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<sst xmlns="http://schemas.openxmlformats.org/spreadsheetml/2006/main" count="3956" uniqueCount="914">
  <si>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</si>
  <si>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</si>
  <si>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</si>
  <si>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</si>
  <si>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</si>
  <si>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</si>
  <si>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</si>
  <si>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</si>
  <si>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</si>
  <si>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</si>
  <si>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</si>
  <si>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</si>
  <si>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</si>
  <si>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</si>
  <si>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</si>
  <si>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</si>
  <si>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</si>
  <si>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</si>
  <si>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</si>
  <si>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</si>
  <si>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</si>
  <si>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</si>
  <si>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</si>
  <si>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</si>
  <si>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</si>
  <si>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</si>
  <si>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</si>
  <si>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</si>
  <si>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</si>
  <si>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</si>
  <si>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</si>
  <si>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</si>
  <si>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</si>
  <si>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</si>
  <si>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</si>
  <si>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</si>
  <si>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</si>
  <si>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</si>
  <si>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</si>
  <si>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</si>
  <si>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</si>
  <si>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</si>
  <si>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</si>
  <si>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</si>
  <si>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</si>
  <si>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</si>
  <si>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</si>
  <si>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</si>
  <si>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</si>
  <si>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</si>
  <si>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</si>
  <si>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</si>
  <si>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</si>
  <si>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</si>
  <si>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</si>
  <si>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</si>
  <si>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</si>
  <si>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</si>
  <si>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</si>
  <si>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</si>
  <si>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</si>
  <si>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</si>
  <si>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</si>
  <si>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</si>
  <si>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</si>
  <si>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</si>
  <si>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</si>
  <si>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</si>
  <si>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</si>
  <si>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</si>
  <si>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</si>
  <si>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</si>
  <si>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</si>
  <si>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</si>
  <si>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</si>
  <si>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</si>
  <si>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</si>
  <si>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</si>
  <si>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</si>
  <si>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</si>
  <si>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</si>
  <si>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</si>
  <si>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</si>
  <si>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</si>
  <si>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</si>
  <si>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</si>
  <si>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</si>
  <si>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</si>
  <si>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</si>
  <si>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</si>
  <si>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</si>
  <si>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</si>
  <si>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</si>
  <si>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</si>
  <si>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</si>
  <si>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</si>
  <si>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</si>
  <si>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</si>
  <si>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</si>
  <si>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</si>
  <si>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</si>
  <si>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</si>
  <si>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</si>
  <si>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</si>
  <si>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</si>
  <si>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</si>
  <si>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</si>
  <si>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</si>
  <si>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</si>
  <si>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</si>
  <si>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</si>
  <si>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</si>
  <si>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</si>
  <si>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</si>
  <si>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</si>
  <si>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</si>
  <si>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</si>
  <si>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</si>
  <si>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</si>
  <si>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</si>
  <si>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</si>
  <si>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</si>
  <si>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</si>
  <si>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</si>
  <si>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</si>
  <si>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</si>
  <si>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</si>
  <si>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</si>
  <si>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</si>
  <si>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</si>
  <si>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</si>
  <si>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</si>
  <si>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</si>
  <si>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</si>
  <si>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</si>
  <si>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</si>
  <si>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</si>
  <si>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</si>
  <si>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</si>
  <si>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</si>
  <si>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</si>
  <si>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</si>
  <si>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</si>
  <si>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</si>
  <si>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</si>
  <si>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</si>
  <si>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</si>
  <si>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</si>
  <si>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</si>
  <si>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</si>
  <si>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</si>
  <si>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</si>
  <si>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</si>
  <si>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</si>
  <si>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</si>
  <si>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</si>
  <si>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</si>
  <si>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</si>
  <si>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</si>
  <si>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</si>
  <si>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</si>
  <si>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</si>
  <si>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</si>
  <si>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</si>
  <si>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</si>
  <si>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</si>
  <si>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</si>
  <si>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</si>
  <si>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</si>
  <si>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</si>
  <si>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</si>
  <si>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</si>
  <si>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</si>
  <si>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</si>
  <si>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</si>
  <si>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</si>
  <si>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</si>
  <si>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</si>
  <si>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</si>
  <si>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</si>
  <si>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</si>
  <si>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</si>
  <si>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</si>
  <si>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</si>
  <si>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</si>
  <si>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</si>
  <si>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</si>
  <si>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</si>
  <si>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</si>
  <si>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</si>
  <si>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</si>
  <si>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</si>
  <si>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</si>
  <si>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</si>
  <si>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</si>
  <si>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</si>
  <si>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</si>
  <si>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</si>
  <si>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</si>
  <si>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</si>
  <si>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</si>
  <si>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</si>
  <si>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</si>
  <si>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</si>
  <si>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</si>
  <si>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</si>
  <si>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</si>
  <si>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</si>
  <si>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</si>
  <si>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</si>
  <si>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</si>
  <si>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</si>
  <si>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</si>
  <si>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</si>
  <si>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</si>
  <si>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</si>
  <si>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</si>
  <si>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</si>
  <si>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</si>
  <si>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</si>
  <si>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</si>
  <si>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</si>
  <si>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</si>
  <si>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</si>
  <si>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</si>
  <si>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</si>
  <si>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</si>
  <si>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</si>
  <si>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</si>
  <si>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</si>
  <si>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</si>
  <si>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</si>
  <si>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</si>
  <si>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</si>
  <si>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</si>
  <si>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</si>
  <si>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</si>
  <si>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</si>
  <si>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</si>
  <si>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</si>
  <si>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</si>
  <si>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</si>
  <si>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</si>
  <si>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</si>
  <si>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</si>
  <si>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</si>
  <si>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</si>
  <si>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</si>
  <si>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</si>
  <si>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</si>
  <si>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</si>
  <si>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</si>
  <si>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</si>
  <si>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</si>
  <si>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</si>
  <si>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</si>
  <si>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</si>
  <si>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</si>
  <si>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</si>
  <si>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</si>
  <si>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</si>
  <si>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</si>
  <si>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</si>
  <si>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</si>
  <si>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</si>
  <si>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</si>
  <si>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</si>
  <si>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</si>
  <si>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</si>
  <si>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</si>
  <si>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</si>
  <si>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</si>
  <si>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</si>
  <si>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</si>
  <si>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</si>
  <si>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</si>
  <si>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</si>
  <si>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</si>
  <si>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</si>
  <si>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</si>
  <si>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</si>
  <si>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</si>
  <si>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</si>
  <si>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</si>
  <si>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</si>
  <si>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</si>
  <si>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</si>
  <si>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</si>
  <si>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</si>
  <si>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</si>
  <si>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</si>
  <si>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</si>
  <si>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</si>
  <si>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</si>
  <si>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</si>
  <si>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</si>
  <si>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</si>
  <si>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</si>
  <si>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</si>
  <si>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</si>
  <si>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</si>
  <si>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</si>
  <si>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</si>
  <si>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</si>
  <si>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</si>
  <si>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</si>
  <si>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</si>
  <si>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</si>
  <si>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</si>
  <si>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</si>
  <si>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</si>
  <si>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</si>
  <si>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</si>
  <si>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</si>
  <si>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</si>
  <si>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</si>
  <si>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</si>
  <si>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</si>
  <si>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</si>
  <si>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</si>
  <si>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</si>
  <si>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</si>
  <si>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</si>
  <si>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</si>
  <si>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</si>
  <si>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</si>
  <si>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</si>
  <si>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</si>
  <si>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</si>
  <si>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</si>
  <si>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</si>
  <si>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</si>
  <si>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</si>
  <si>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</si>
  <si>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</si>
  <si>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</si>
  <si>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</si>
  <si>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</si>
  <si>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</si>
  <si>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</si>
  <si>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</si>
  <si>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</si>
  <si>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</si>
  <si>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</si>
  <si>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</si>
  <si>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</si>
  <si>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</si>
  <si>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</si>
  <si>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</si>
  <si>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</si>
  <si>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</si>
  <si>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</si>
  <si>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</si>
  <si>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</si>
  <si>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</si>
  <si>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</si>
  <si>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</si>
  <si>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</si>
  <si>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</si>
  <si>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</si>
  <si>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</si>
  <si>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</si>
  <si>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</si>
  <si>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</si>
  <si>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</si>
  <si>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</si>
  <si>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</si>
  <si>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</si>
  <si>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</si>
  <si>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</si>
  <si>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</si>
  <si>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</si>
  <si>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</si>
  <si>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</si>
  <si>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</si>
  <si>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</si>
  <si>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</si>
  <si>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</si>
  <si>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</si>
  <si>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</si>
  <si>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</si>
  <si>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</si>
  <si>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</si>
  <si>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</si>
  <si>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</si>
  <si>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</si>
  <si>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</si>
  <si>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</si>
  <si>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</si>
  <si>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</si>
  <si>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</si>
  <si>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</si>
  <si>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</si>
  <si>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</si>
  <si>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</si>
  <si>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</si>
  <si>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</si>
  <si>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</si>
  <si>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</si>
  <si>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</si>
  <si>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</si>
  <si>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</si>
  <si>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</si>
  <si>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</si>
  <si>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</si>
  <si>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</si>
  <si>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</si>
  <si>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</si>
  <si>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</si>
  <si>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</si>
  <si>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</si>
  <si>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</si>
  <si>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</si>
  <si>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</si>
  <si>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</si>
  <si>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</si>
  <si>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</si>
  <si>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</si>
  <si>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</si>
  <si>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</si>
  <si>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</si>
  <si>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</si>
  <si>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</si>
  <si>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</si>
  <si>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</si>
  <si>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</si>
  <si>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</si>
  <si>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</si>
  <si>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</si>
  <si>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</si>
  <si>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</si>
  <si>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</si>
  <si>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</si>
  <si>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</si>
  <si>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</si>
  <si>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</si>
  <si>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</si>
  <si>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</si>
  <si>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</si>
  <si>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</si>
  <si>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</si>
  <si>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</si>
  <si>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</si>
  <si>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</si>
  <si>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</si>
  <si>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</si>
  <si>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</si>
  <si>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</si>
  <si>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</si>
  <si>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</si>
  <si>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</si>
  <si>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</si>
  <si>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</si>
  <si>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</si>
  <si>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</si>
  <si>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</si>
  <si>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</si>
  <si>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</si>
  <si>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</si>
  <si>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</si>
  <si>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</si>
  <si>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</si>
  <si>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</si>
  <si>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</si>
  <si>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</si>
  <si>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</si>
  <si>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</si>
  <si>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</si>
  <si>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</si>
  <si>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</si>
  <si>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</si>
  <si>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</si>
  <si>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</si>
  <si>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</si>
  <si>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</si>
  <si>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</si>
  <si>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</si>
  <si>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</si>
  <si>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</si>
  <si>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</si>
  <si>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</si>
  <si>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</si>
  <si>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</si>
  <si>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</si>
  <si>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</si>
  <si>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</si>
  <si>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</si>
  <si>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</si>
  <si>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</si>
  <si>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</si>
  <si>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</si>
  <si>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</si>
  <si>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</si>
  <si>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</si>
  <si>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</si>
  <si>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</si>
  <si>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</si>
  <si>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</si>
  <si>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</si>
  <si>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</si>
  <si>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</si>
  <si>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</si>
  <si>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</si>
  <si>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</si>
  <si>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</si>
  <si>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</si>
  <si>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</si>
  <si>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</si>
  <si>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</si>
  <si>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</si>
  <si>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</si>
  <si>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</si>
  <si>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</si>
  <si>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</si>
  <si>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</si>
  <si>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</si>
  <si>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</si>
  <si>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</si>
  <si>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</si>
  <si>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</si>
  <si>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</si>
  <si>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</si>
  <si>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</si>
  <si>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</si>
  <si>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</si>
  <si>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</si>
  <si>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</si>
  <si>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</si>
  <si>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</si>
  <si>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</si>
  <si>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</si>
  <si>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</si>
  <si>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</si>
  <si>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</si>
  <si>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</si>
  <si>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</si>
  <si>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</si>
  <si>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</si>
  <si>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</si>
  <si>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</si>
  <si>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</si>
  <si>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</si>
  <si>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</si>
  <si>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</si>
  <si>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</si>
  <si>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</si>
  <si>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</si>
  <si>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</si>
  <si>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</si>
  <si>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</si>
  <si>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</si>
  <si>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</si>
  <si>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</si>
  <si>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</si>
  <si>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</si>
  <si>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</si>
  <si>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</si>
  <si>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</si>
  <si>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</si>
  <si>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</si>
  <si>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</si>
  <si>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</si>
  <si>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</si>
  <si>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</si>
  <si>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</si>
  <si>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</si>
  <si>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</si>
  <si>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</si>
  <si>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</si>
  <si>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</si>
  <si>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</si>
  <si>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</si>
  <si>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</si>
  <si>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</si>
  <si>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</si>
  <si>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</si>
  <si>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</si>
  <si>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</si>
  <si>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</si>
  <si>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</si>
  <si>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</si>
  <si>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</si>
  <si>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</si>
  <si>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</si>
  <si>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</si>
  <si>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</si>
  <si>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</si>
  <si>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</si>
  <si>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</si>
  <si>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</si>
  <si>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</si>
  <si>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</si>
  <si>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</si>
  <si>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</si>
  <si>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</si>
  <si>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</si>
  <si>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</si>
  <si>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</si>
  <si>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</si>
  <si>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</si>
  <si>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</si>
  <si>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</si>
  <si>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</si>
  <si>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</si>
  <si>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</si>
  <si>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</si>
  <si>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</si>
  <si>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</si>
  <si>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</si>
  <si>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</si>
  <si>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</si>
  <si>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</si>
  <si>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</si>
  <si>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</si>
  <si>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</si>
  <si>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</si>
  <si>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</si>
  <si>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</si>
  <si>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</si>
  <si>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</si>
  <si>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</si>
  <si>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</si>
  <si>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</si>
  <si>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</si>
  <si>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</si>
  <si>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</si>
  <si>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</si>
  <si>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</si>
  <si>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</si>
  <si>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</si>
  <si>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</si>
  <si>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</si>
  <si>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</si>
  <si>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</si>
  <si>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</si>
  <si>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</si>
  <si>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</si>
  <si>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</si>
  <si>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</si>
  <si>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</si>
  <si>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</si>
  <si>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</si>
  <si>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</si>
  <si>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</si>
  <si>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</si>
  <si>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</si>
  <si>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</si>
  <si>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</si>
  <si>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</si>
  <si>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</si>
  <si>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</si>
  <si>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</si>
  <si>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</si>
  <si>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</si>
  <si>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</si>
  <si>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</si>
  <si>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</si>
  <si>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</si>
  <si>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</si>
  <si>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</si>
  <si>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</si>
  <si>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</si>
  <si>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</si>
  <si>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</si>
  <si>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</si>
  <si>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</si>
  <si>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</si>
  <si>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</si>
  <si>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</si>
  <si>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</si>
  <si>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</si>
  <si>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</si>
  <si>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</si>
  <si>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</si>
  <si>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</si>
  <si>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</si>
  <si>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</si>
  <si>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</si>
  <si>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</si>
  <si>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</si>
  <si>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</si>
  <si>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</si>
  <si>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</si>
  <si>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</si>
  <si>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</si>
  <si>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</si>
  <si>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</si>
  <si>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</si>
  <si>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</si>
  <si>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</si>
  <si>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</si>
  <si>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</si>
  <si>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</si>
  <si>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</si>
  <si>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</si>
  <si>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</si>
  <si>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</si>
  <si>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</si>
  <si>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</si>
  <si>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</si>
  <si>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</si>
  <si>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</si>
  <si>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</si>
  <si>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</si>
  <si>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</si>
  <si>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</si>
  <si>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</si>
  <si>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</si>
  <si>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</si>
  <si>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</si>
  <si>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</si>
  <si>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</si>
  <si>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</si>
  <si>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</si>
  <si>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</si>
  <si>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</si>
  <si>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</si>
  <si>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</si>
  <si>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</si>
  <si>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</si>
  <si>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</si>
  <si>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</si>
  <si>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</si>
  <si>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</si>
  <si>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</si>
  <si>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</si>
  <si>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</si>
  <si>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</si>
  <si>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</si>
  <si>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</si>
  <si>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</si>
  <si>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</si>
  <si>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</si>
  <si>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</si>
  <si>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</si>
  <si>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</si>
  <si>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</si>
  <si>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</si>
  <si>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</si>
  <si>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</si>
  <si>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</si>
  <si>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</si>
  <si>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</si>
  <si>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</si>
  <si>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</si>
  <si>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</si>
  <si>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</si>
  <si>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</si>
  <si>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</si>
  <si>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</si>
  <si>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</si>
  <si>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</si>
  <si>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</si>
  <si>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</si>
  <si>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</si>
  <si>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</si>
  <si>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</si>
  <si>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</si>
  <si>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</si>
  <si>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</si>
  <si>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</si>
  <si>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</si>
  <si>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</si>
  <si>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</si>
  <si>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</si>
  <si>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</si>
  <si>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</si>
  <si>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</si>
  <si>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</si>
  <si>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</si>
  <si>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</si>
  <si>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</si>
  <si>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</si>
  <si>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</si>
  <si>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</si>
  <si>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</si>
  <si>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</si>
  <si>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</si>
  <si>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</si>
  <si>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</si>
  <si>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</si>
  <si>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</si>
  <si>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</si>
  <si>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</si>
  <si>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</si>
  <si>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</si>
  <si>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</si>
  <si>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</si>
  <si>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</si>
  <si>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</si>
  <si>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</si>
  <si>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</si>
  <si>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</si>
  <si>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</si>
  <si>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</si>
  <si>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</si>
  <si>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</si>
  <si>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</si>
  <si>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</si>
  <si>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</si>
  <si>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</si>
  <si>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</si>
  <si>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</si>
  <si>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</si>
  <si>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</si>
  <si>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</si>
  <si>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</si>
  <si>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</si>
  <si>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</si>
  <si>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</si>
  <si>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</si>
  <si>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</si>
  <si>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</si>
  <si>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</si>
  <si>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</si>
  <si>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</si>
  <si>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</si>
  <si>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</si>
  <si>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</si>
  <si>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</si>
  <si>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</si>
  <si>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</si>
  <si>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</si>
  <si>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</si>
  <si>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</si>
  <si>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</si>
  <si>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</si>
  <si>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</si>
  <si>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</si>
  <si>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</si>
  <si>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</si>
  <si>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</si>
  <si>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</si>
  <si>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</si>
  <si>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</si>
  <si>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</si>
  <si>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</si>
  <si>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</si>
  <si>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</si>
  <si>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</si>
  <si>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</si>
  <si>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</si>
  <si>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</si>
  <si>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</si>
  <si>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</si>
  <si>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</si>
  <si>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</si>
  <si>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</si>
  <si>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</si>
  <si>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</si>
  <si>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</si>
  <si>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</si>
  <si>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</si>
  <si>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</si>
  <si>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</si>
  <si>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</si>
  <si>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</si>
  <si>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</si>
  <si>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</si>
  <si>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</si>
  <si>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</si>
  <si>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</si>
  <si>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</si>
  <si>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</si>
  <si>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</si>
  <si>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</si>
  <si>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</si>
  <si>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</si>
  <si>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</si>
  <si>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</si>
  <si>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</si>
  <si>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</si>
  <si>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</si>
  <si>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</si>
  <si>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</si>
  <si>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</si>
  <si>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</si>
  <si>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</si>
  <si>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</si>
  <si>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</si>
  <si>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</si>
  <si>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</si>
  <si>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</si>
  <si>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</si>
  <si>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</si>
  <si>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</si>
  <si>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</si>
  <si>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</si>
  <si>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</si>
  <si>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</si>
  <si>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</si>
  <si>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</si>
  <si>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</si>
  <si>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</si>
  <si>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</si>
  <si>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</si>
  <si>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</si>
  <si>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</si>
  <si>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</si>
  <si>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</si>
  <si>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</si>
  <si>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</si>
  <si>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</si>
  <si>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</si>
  <si>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</si>
  <si>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</si>
  <si>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</si>
  <si>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</si>
  <si>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</si>
  <si>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</si>
  <si>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</si>
  <si>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</si>
  <si>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Candia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</si>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</sst>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497" activePane="bottomRight" state="frozen"/>
      <selection pane="topRight" activeCell="F1" sqref="F1"/>
      <selection pane="bottomLeft" activeCell="A4" sqref="A4"/>
      <selection pane="bottomRight" activeCell="H541" sqref="H54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79</v>
      </c>
      <c r="C2" s="21">
        <v>79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631118.97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34368.39</v>
      </c>
      <c r="G12" s="18">
        <v>19188.78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908.63</v>
      </c>
      <c r="G13" s="18">
        <v>3673.18</v>
      </c>
      <c r="H13" s="18">
        <v>40745.08</v>
      </c>
      <c r="I13" s="18"/>
      <c r="J13" s="67">
        <f>SUM(I442)</f>
        <v>556304.52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>
        <v>809.41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666395.99</v>
      </c>
      <c r="G19" s="41">
        <f>SUM(G9:G18)</f>
        <v>22861.96</v>
      </c>
      <c r="H19" s="41">
        <f>SUM(H9:H18)</f>
        <v>41554.490000000005</v>
      </c>
      <c r="I19" s="41">
        <f>SUM(I9:I18)</f>
        <v>0</v>
      </c>
      <c r="J19" s="41">
        <f>SUM(J9:J18)</f>
        <v>556304.52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19188.78</v>
      </c>
      <c r="G22" s="18"/>
      <c r="H22" s="18">
        <v>34368.39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132881.41</v>
      </c>
      <c r="G24" s="18">
        <v>441.38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49756.14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2625.66</v>
      </c>
      <c r="H30" s="18">
        <v>7186.1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201826.33000000002</v>
      </c>
      <c r="G32" s="41">
        <f>SUM(G22:G31)</f>
        <v>3067.04</v>
      </c>
      <c r="H32" s="41">
        <f>SUM(H22:H31)</f>
        <v>41554.49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12719.96</v>
      </c>
      <c r="H48" s="18"/>
      <c r="I48" s="18"/>
      <c r="J48" s="13">
        <f>SUM(I459)</f>
        <v>556304.52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59475.6</v>
      </c>
      <c r="G49" s="18">
        <v>7074.96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405094.06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464569.66</v>
      </c>
      <c r="G51" s="41">
        <f>SUM(G35:G50)</f>
        <v>19794.919999999998</v>
      </c>
      <c r="H51" s="41">
        <f>SUM(H35:H50)</f>
        <v>0</v>
      </c>
      <c r="I51" s="41">
        <f>SUM(I35:I50)</f>
        <v>0</v>
      </c>
      <c r="J51" s="41">
        <f>SUM(J35:J50)</f>
        <v>556304.52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666395.99</v>
      </c>
      <c r="G52" s="41">
        <f>G51+G32</f>
        <v>22861.96</v>
      </c>
      <c r="H52" s="41">
        <f>H51+H32</f>
        <v>41554.49</v>
      </c>
      <c r="I52" s="41">
        <f>I51+I32</f>
        <v>0</v>
      </c>
      <c r="J52" s="41">
        <f>J51+J32</f>
        <v>556304.52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5591987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5591987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>
        <v>5188</v>
      </c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>
        <v>1248</v>
      </c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6436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152.57</v>
      </c>
      <c r="G96" s="18"/>
      <c r="H96" s="18"/>
      <c r="I96" s="18"/>
      <c r="J96" s="18">
        <v>1174.99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87862.65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1500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1356</v>
      </c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6028.73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243.82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9281.119999999999</v>
      </c>
      <c r="G111" s="41">
        <f>SUM(G96:G110)</f>
        <v>87862.65</v>
      </c>
      <c r="H111" s="41">
        <f>SUM(H96:H110)</f>
        <v>0</v>
      </c>
      <c r="I111" s="41">
        <f>SUM(I96:I110)</f>
        <v>0</v>
      </c>
      <c r="J111" s="41">
        <f>SUM(J96:J110)</f>
        <v>1174.99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5607704.1200000001</v>
      </c>
      <c r="G112" s="41">
        <f>G60+G111</f>
        <v>87862.65</v>
      </c>
      <c r="H112" s="41">
        <f>H60+H79+H94+H111</f>
        <v>0</v>
      </c>
      <c r="I112" s="41">
        <f>I60+I111</f>
        <v>0</v>
      </c>
      <c r="J112" s="41">
        <f>J60+J111</f>
        <v>1174.99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1005213.08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917432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6714.27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1929359.35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39596.11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1922.03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39596.11</v>
      </c>
      <c r="G136" s="41">
        <f>SUM(G123:G135)</f>
        <v>1922.03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1968955.4600000002</v>
      </c>
      <c r="G140" s="41">
        <f>G121+SUM(G136:G137)</f>
        <v>1922.03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23904.65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36695.050000000003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53317.68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97871.69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24123.63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24123.63</v>
      </c>
      <c r="G162" s="41">
        <f>SUM(G150:G161)</f>
        <v>53317.68</v>
      </c>
      <c r="H162" s="41">
        <f>SUM(H150:H161)</f>
        <v>158471.39000000001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>
        <v>325.62</v>
      </c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24123.63</v>
      </c>
      <c r="G169" s="41">
        <f>G147+G162+SUM(G163:G168)</f>
        <v>53317.68</v>
      </c>
      <c r="H169" s="41">
        <f>H147+H162+SUM(H163:H168)</f>
        <v>158797.01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27000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27000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27000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7600783.21</v>
      </c>
      <c r="G193" s="47">
        <f>G112+G140+G169+G192</f>
        <v>143102.35999999999</v>
      </c>
      <c r="H193" s="47">
        <f>H112+H140+H169+H192</f>
        <v>158797.01</v>
      </c>
      <c r="I193" s="47">
        <f>I112+I140+I169+I192</f>
        <v>0</v>
      </c>
      <c r="J193" s="47">
        <f>J112+J140+J192</f>
        <v>28174.99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1441583.78</v>
      </c>
      <c r="G197" s="18">
        <v>782540.15</v>
      </c>
      <c r="H197" s="18">
        <v>14742.41</v>
      </c>
      <c r="I197" s="18">
        <v>34910.43</v>
      </c>
      <c r="J197" s="18">
        <v>2981.2</v>
      </c>
      <c r="K197" s="18"/>
      <c r="L197" s="19">
        <f>SUM(F197:K197)</f>
        <v>2276757.9700000007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386955.62+8038+312.12+63384.38</f>
        <v>458690.12</v>
      </c>
      <c r="G198" s="18">
        <f>140324.3+1515.86+47.75+34917.44</f>
        <v>176805.34999999998</v>
      </c>
      <c r="H198" s="18">
        <f>46510.12+550.12+659032.44+11839.25+27419.28-49356.13-170-465977.42</f>
        <v>229847.65999999997</v>
      </c>
      <c r="I198" s="18">
        <f>680.15+946.71</f>
        <v>1626.8600000000001</v>
      </c>
      <c r="J198" s="18">
        <f>775.92</f>
        <v>775.92</v>
      </c>
      <c r="K198" s="18">
        <f>795</f>
        <v>795</v>
      </c>
      <c r="L198" s="19">
        <f>SUM(F198:K198)</f>
        <v>868540.90999999992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11100+13500</f>
        <v>24600</v>
      </c>
      <c r="G200" s="18">
        <f>2104.16+2443.92</f>
        <v>4548.08</v>
      </c>
      <c r="H200" s="18">
        <f>3492+4572.5</f>
        <v>8064.5</v>
      </c>
      <c r="I200" s="18">
        <f>3459.03</f>
        <v>3459.03</v>
      </c>
      <c r="J200" s="18">
        <f>3492.9</f>
        <v>3492.9</v>
      </c>
      <c r="K200" s="18">
        <f>227.5+470</f>
        <v>697.5</v>
      </c>
      <c r="L200" s="19">
        <f>SUM(F200:K200)</f>
        <v>44862.01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67567+40928</f>
        <v>108495</v>
      </c>
      <c r="G202" s="18">
        <f>27300.48+36242.98+1983.1</f>
        <v>65526.560000000005</v>
      </c>
      <c r="H202" s="18">
        <f>5688.65+2066.88+61789.88+80820+462+96330</f>
        <v>247157.41</v>
      </c>
      <c r="I202" s="18">
        <f>847.06+3489.79+1067.02</f>
        <v>5403.8700000000008</v>
      </c>
      <c r="J202" s="18">
        <f>852.47</f>
        <v>852.47</v>
      </c>
      <c r="K202" s="18">
        <f>150+1090.8</f>
        <v>1240.8</v>
      </c>
      <c r="L202" s="19">
        <f t="shared" ref="L202:L208" si="0">SUM(F202:K202)</f>
        <v>428676.10999999993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6440.47+58867</f>
        <v>65307.47</v>
      </c>
      <c r="G203" s="18">
        <f>1510.03+13837.26</f>
        <v>15347.29</v>
      </c>
      <c r="H203" s="18">
        <f>1358</f>
        <v>1358</v>
      </c>
      <c r="I203" s="18">
        <v>13436.67</v>
      </c>
      <c r="J203" s="18">
        <v>149</v>
      </c>
      <c r="K203" s="18"/>
      <c r="L203" s="19">
        <f t="shared" si="0"/>
        <v>95598.430000000008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7025</v>
      </c>
      <c r="G204" s="18">
        <v>735.86</v>
      </c>
      <c r="H204" s="18">
        <f>57115.69+166807</f>
        <v>223922.69</v>
      </c>
      <c r="I204" s="18">
        <v>2331.38</v>
      </c>
      <c r="J204" s="18"/>
      <c r="K204" s="18">
        <v>5347.24</v>
      </c>
      <c r="L204" s="19">
        <f t="shared" si="0"/>
        <v>239362.16999999998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213656.11</v>
      </c>
      <c r="G205" s="18">
        <v>134748.82999999999</v>
      </c>
      <c r="H205" s="18">
        <f>4094.3+8735.22</f>
        <v>12829.52</v>
      </c>
      <c r="I205" s="18">
        <v>838.88</v>
      </c>
      <c r="J205" s="18">
        <v>2621.95</v>
      </c>
      <c r="K205" s="18">
        <v>1710</v>
      </c>
      <c r="L205" s="19">
        <f t="shared" si="0"/>
        <v>366405.29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135863.38</v>
      </c>
      <c r="G207" s="18">
        <v>75510.740000000005</v>
      </c>
      <c r="H207" s="18">
        <f>167734.93+15322</f>
        <v>183056.93</v>
      </c>
      <c r="I207" s="18">
        <v>89442.65</v>
      </c>
      <c r="J207" s="18">
        <v>2836.9</v>
      </c>
      <c r="K207" s="18"/>
      <c r="L207" s="19">
        <f t="shared" si="0"/>
        <v>486710.6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376249.28</v>
      </c>
      <c r="I208" s="18"/>
      <c r="J208" s="18"/>
      <c r="K208" s="18"/>
      <c r="L208" s="19">
        <f t="shared" si="0"/>
        <v>376249.28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62424</v>
      </c>
      <c r="G209" s="18">
        <v>32494.66</v>
      </c>
      <c r="H209" s="18">
        <f>4989.88+572.48+1511.18</f>
        <v>7073.5400000000009</v>
      </c>
      <c r="I209" s="18">
        <v>10382.93</v>
      </c>
      <c r="J209" s="18">
        <v>20046.990000000002</v>
      </c>
      <c r="K209" s="18"/>
      <c r="L209" s="19">
        <f>SUM(F209:K209)</f>
        <v>132422.12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2517644.86</v>
      </c>
      <c r="G211" s="41">
        <f t="shared" si="1"/>
        <v>1288257.52</v>
      </c>
      <c r="H211" s="41">
        <f t="shared" si="1"/>
        <v>1304301.94</v>
      </c>
      <c r="I211" s="41">
        <f t="shared" si="1"/>
        <v>161832.69999999998</v>
      </c>
      <c r="J211" s="41">
        <f t="shared" si="1"/>
        <v>33757.33</v>
      </c>
      <c r="K211" s="41">
        <f t="shared" si="1"/>
        <v>9790.5400000000009</v>
      </c>
      <c r="L211" s="41">
        <f t="shared" si="1"/>
        <v>5315584.8900000006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>
        <v>49356.13</v>
      </c>
      <c r="I216" s="18"/>
      <c r="J216" s="18"/>
      <c r="K216" s="18"/>
      <c r="L216" s="19">
        <f>SUM(F216:K216)</f>
        <v>49356.13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49356.13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49356.13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2077508.84</v>
      </c>
      <c r="I233" s="18"/>
      <c r="J233" s="18"/>
      <c r="K233" s="18"/>
      <c r="L233" s="19">
        <f>SUM(F233:K233)</f>
        <v>2077508.84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f>465977.42+170</f>
        <v>466147.42</v>
      </c>
      <c r="I234" s="18"/>
      <c r="J234" s="18"/>
      <c r="K234" s="18"/>
      <c r="L234" s="19">
        <f>SUM(F234:K234)</f>
        <v>466147.42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161557.35</v>
      </c>
      <c r="I244" s="18"/>
      <c r="J244" s="18"/>
      <c r="K244" s="18"/>
      <c r="L244" s="19">
        <f t="shared" si="4"/>
        <v>161557.35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2705213.6100000003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2705213.6100000003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2517644.86</v>
      </c>
      <c r="G257" s="41">
        <f t="shared" si="8"/>
        <v>1288257.52</v>
      </c>
      <c r="H257" s="41">
        <f t="shared" si="8"/>
        <v>4058871.68</v>
      </c>
      <c r="I257" s="41">
        <f t="shared" si="8"/>
        <v>161832.69999999998</v>
      </c>
      <c r="J257" s="41">
        <f t="shared" si="8"/>
        <v>33757.33</v>
      </c>
      <c r="K257" s="41">
        <f t="shared" si="8"/>
        <v>9790.5400000000009</v>
      </c>
      <c r="L257" s="41">
        <f t="shared" si="8"/>
        <v>8070154.6300000008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27000</v>
      </c>
      <c r="L266" s="19">
        <f t="shared" si="9"/>
        <v>27000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2447.2600000000002</v>
      </c>
      <c r="L268" s="19">
        <f t="shared" si="9"/>
        <v>2447.2600000000002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29447.260000000002</v>
      </c>
      <c r="L270" s="41">
        <f t="shared" si="9"/>
        <v>29447.260000000002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2517644.86</v>
      </c>
      <c r="G271" s="42">
        <f t="shared" si="11"/>
        <v>1288257.52</v>
      </c>
      <c r="H271" s="42">
        <f t="shared" si="11"/>
        <v>4058871.68</v>
      </c>
      <c r="I271" s="42">
        <f t="shared" si="11"/>
        <v>161832.69999999998</v>
      </c>
      <c r="J271" s="42">
        <f t="shared" si="11"/>
        <v>33757.33</v>
      </c>
      <c r="K271" s="42">
        <f t="shared" si="11"/>
        <v>39237.800000000003</v>
      </c>
      <c r="L271" s="42">
        <f t="shared" si="11"/>
        <v>8099601.8900000006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22533.759999999998</v>
      </c>
      <c r="G276" s="18">
        <v>5171.29</v>
      </c>
      <c r="H276" s="18"/>
      <c r="I276" s="18">
        <v>2230</v>
      </c>
      <c r="J276" s="18"/>
      <c r="K276" s="18"/>
      <c r="L276" s="19">
        <f>SUM(F276:K276)</f>
        <v>29935.05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26640.18</v>
      </c>
      <c r="G277" s="18">
        <v>1936.64</v>
      </c>
      <c r="H277" s="18">
        <v>3685.5</v>
      </c>
      <c r="I277" s="18">
        <v>2610.5700000000002</v>
      </c>
      <c r="J277" s="18"/>
      <c r="K277" s="18"/>
      <c r="L277" s="19">
        <f>SUM(F277:K277)</f>
        <v>34872.89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f>34385+542.5</f>
        <v>34927.5</v>
      </c>
      <c r="I281" s="18"/>
      <c r="J281" s="18"/>
      <c r="K281" s="18"/>
      <c r="L281" s="19">
        <f t="shared" ref="L281:L287" si="12">SUM(F281:K281)</f>
        <v>34927.5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947.37</v>
      </c>
      <c r="G282" s="18">
        <v>121.27</v>
      </c>
      <c r="H282" s="18">
        <v>36161.949999999997</v>
      </c>
      <c r="I282" s="18">
        <f>2038.69+2978.7</f>
        <v>5017.3899999999994</v>
      </c>
      <c r="J282" s="18"/>
      <c r="K282" s="18"/>
      <c r="L282" s="19">
        <f t="shared" si="12"/>
        <v>42247.979999999996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3554.97</v>
      </c>
      <c r="L285" s="19">
        <f t="shared" si="12"/>
        <v>3554.97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>
        <v>149.5</v>
      </c>
      <c r="I288" s="18"/>
      <c r="J288" s="18">
        <v>13109.12</v>
      </c>
      <c r="K288" s="18"/>
      <c r="L288" s="19">
        <f>SUM(F288:K288)</f>
        <v>13258.62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50121.310000000005</v>
      </c>
      <c r="G290" s="42">
        <f t="shared" si="13"/>
        <v>7229.2000000000007</v>
      </c>
      <c r="H290" s="42">
        <f t="shared" si="13"/>
        <v>74924.45</v>
      </c>
      <c r="I290" s="42">
        <f t="shared" si="13"/>
        <v>9857.9599999999991</v>
      </c>
      <c r="J290" s="42">
        <f t="shared" si="13"/>
        <v>13109.12</v>
      </c>
      <c r="K290" s="42">
        <f t="shared" si="13"/>
        <v>3554.97</v>
      </c>
      <c r="L290" s="41">
        <f t="shared" si="13"/>
        <v>158797.00999999998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50121.310000000005</v>
      </c>
      <c r="G338" s="41">
        <f t="shared" si="20"/>
        <v>7229.2000000000007</v>
      </c>
      <c r="H338" s="41">
        <f t="shared" si="20"/>
        <v>74924.45</v>
      </c>
      <c r="I338" s="41">
        <f t="shared" si="20"/>
        <v>9857.9599999999991</v>
      </c>
      <c r="J338" s="41">
        <f t="shared" si="20"/>
        <v>13109.12</v>
      </c>
      <c r="K338" s="41">
        <f t="shared" si="20"/>
        <v>3554.97</v>
      </c>
      <c r="L338" s="41">
        <f t="shared" si="20"/>
        <v>158797.00999999998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50121.310000000005</v>
      </c>
      <c r="G352" s="41">
        <f>G338</f>
        <v>7229.2000000000007</v>
      </c>
      <c r="H352" s="41">
        <f>H338</f>
        <v>74924.45</v>
      </c>
      <c r="I352" s="41">
        <f>I338</f>
        <v>9857.9599999999991</v>
      </c>
      <c r="J352" s="41">
        <f>J338</f>
        <v>13109.12</v>
      </c>
      <c r="K352" s="47">
        <f>K338+K351</f>
        <v>3554.97</v>
      </c>
      <c r="L352" s="41">
        <f>L338+L351</f>
        <v>158797.00999999998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55889.43</v>
      </c>
      <c r="G358" s="18">
        <v>8988.1200000000008</v>
      </c>
      <c r="H358" s="18">
        <v>3466.12</v>
      </c>
      <c r="I358" s="18">
        <v>68297.31</v>
      </c>
      <c r="J358" s="18">
        <v>498.48</v>
      </c>
      <c r="K358" s="18">
        <v>450</v>
      </c>
      <c r="L358" s="13">
        <f>SUM(F358:K358)</f>
        <v>137589.46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55889.43</v>
      </c>
      <c r="G362" s="47">
        <f t="shared" si="22"/>
        <v>8988.1200000000008</v>
      </c>
      <c r="H362" s="47">
        <f t="shared" si="22"/>
        <v>3466.12</v>
      </c>
      <c r="I362" s="47">
        <f t="shared" si="22"/>
        <v>68297.31</v>
      </c>
      <c r="J362" s="47">
        <f t="shared" si="22"/>
        <v>498.48</v>
      </c>
      <c r="K362" s="47">
        <f t="shared" si="22"/>
        <v>450</v>
      </c>
      <c r="L362" s="47">
        <f t="shared" si="22"/>
        <v>137589.46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63209.48</v>
      </c>
      <c r="G367" s="18"/>
      <c r="H367" s="18"/>
      <c r="I367" s="56">
        <f>SUM(F367:H367)</f>
        <v>63209.48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5087.83</v>
      </c>
      <c r="G368" s="63"/>
      <c r="H368" s="63"/>
      <c r="I368" s="56">
        <f>SUM(F368:H368)</f>
        <v>5087.83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68297.31</v>
      </c>
      <c r="G369" s="47">
        <f>SUM(G367:G368)</f>
        <v>0</v>
      </c>
      <c r="H369" s="47">
        <f>SUM(H367:H368)</f>
        <v>0</v>
      </c>
      <c r="I369" s="47">
        <f>SUM(I367:I368)</f>
        <v>68297.31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>
        <v>600.20000000000005</v>
      </c>
      <c r="I389" s="18"/>
      <c r="J389" s="24" t="s">
        <v>288</v>
      </c>
      <c r="K389" s="24" t="s">
        <v>288</v>
      </c>
      <c r="L389" s="56">
        <f t="shared" si="25"/>
        <v>600.20000000000005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600.20000000000005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600.20000000000005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150.31</v>
      </c>
      <c r="I396" s="18"/>
      <c r="J396" s="24" t="s">
        <v>288</v>
      </c>
      <c r="K396" s="24" t="s">
        <v>288</v>
      </c>
      <c r="L396" s="56">
        <f t="shared" si="26"/>
        <v>150.31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27000</v>
      </c>
      <c r="H397" s="18">
        <v>421.4</v>
      </c>
      <c r="I397" s="18"/>
      <c r="J397" s="24" t="s">
        <v>288</v>
      </c>
      <c r="K397" s="24" t="s">
        <v>288</v>
      </c>
      <c r="L397" s="56">
        <f t="shared" si="26"/>
        <v>27421.4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>
        <v>1.57</v>
      </c>
      <c r="I399" s="18"/>
      <c r="J399" s="24" t="s">
        <v>288</v>
      </c>
      <c r="K399" s="24" t="s">
        <v>288</v>
      </c>
      <c r="L399" s="56">
        <f t="shared" si="26"/>
        <v>1.57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1.51</v>
      </c>
      <c r="I400" s="18"/>
      <c r="J400" s="24" t="s">
        <v>288</v>
      </c>
      <c r="K400" s="24" t="s">
        <v>288</v>
      </c>
      <c r="L400" s="56">
        <f t="shared" si="26"/>
        <v>1.51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27000</v>
      </c>
      <c r="H401" s="47">
        <f>SUM(H395:H400)</f>
        <v>574.79000000000008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27574.79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27000</v>
      </c>
      <c r="H408" s="47">
        <f>H393+H401+H407</f>
        <v>1174.9900000000002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28174.99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>
        <v>1041.8699999999999</v>
      </c>
      <c r="J418" s="18">
        <v>956.08</v>
      </c>
      <c r="K418" s="18"/>
      <c r="L418" s="56">
        <f t="shared" si="27"/>
        <v>1997.9499999999998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1041.8699999999999</v>
      </c>
      <c r="J419" s="139">
        <f t="shared" si="28"/>
        <v>956.08</v>
      </c>
      <c r="K419" s="139">
        <f t="shared" si="28"/>
        <v>0</v>
      </c>
      <c r="L419" s="47">
        <f t="shared" si="28"/>
        <v>1997.9499999999998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1041.8699999999999</v>
      </c>
      <c r="J434" s="47">
        <f t="shared" si="32"/>
        <v>956.08</v>
      </c>
      <c r="K434" s="47">
        <f t="shared" si="32"/>
        <v>0</v>
      </c>
      <c r="L434" s="47">
        <f t="shared" si="32"/>
        <v>1997.9499999999998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283159.11</v>
      </c>
      <c r="G442" s="18">
        <v>273145.40999999997</v>
      </c>
      <c r="H442" s="18"/>
      <c r="I442" s="56">
        <f t="shared" si="33"/>
        <v>556304.52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283159.11</v>
      </c>
      <c r="G446" s="13">
        <f>SUM(G439:G445)</f>
        <v>273145.40999999997</v>
      </c>
      <c r="H446" s="13">
        <f>SUM(H439:H445)</f>
        <v>0</v>
      </c>
      <c r="I446" s="13">
        <f>SUM(I439:I445)</f>
        <v>556304.52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283159.11</v>
      </c>
      <c r="G459" s="18">
        <v>273145.40999999997</v>
      </c>
      <c r="H459" s="18"/>
      <c r="I459" s="56">
        <f t="shared" si="34"/>
        <v>556304.52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283159.11</v>
      </c>
      <c r="G460" s="83">
        <f>SUM(G454:G459)</f>
        <v>273145.40999999997</v>
      </c>
      <c r="H460" s="83">
        <f>SUM(H454:H459)</f>
        <v>0</v>
      </c>
      <c r="I460" s="83">
        <f>SUM(I454:I459)</f>
        <v>556304.52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283159.11</v>
      </c>
      <c r="G461" s="42">
        <f>G452+G460</f>
        <v>273145.40999999997</v>
      </c>
      <c r="H461" s="42">
        <f>H452+H460</f>
        <v>0</v>
      </c>
      <c r="I461" s="42">
        <f>I452+I460</f>
        <v>556304.52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963388.34</v>
      </c>
      <c r="G465" s="18">
        <v>14282.02</v>
      </c>
      <c r="H465" s="18"/>
      <c r="I465" s="18"/>
      <c r="J465" s="18">
        <v>530127.48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7600783.21</v>
      </c>
      <c r="G468" s="18">
        <v>143102.35999999999</v>
      </c>
      <c r="H468" s="18">
        <v>158797.01</v>
      </c>
      <c r="I468" s="18"/>
      <c r="J468" s="18">
        <v>28174.99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7600783.21</v>
      </c>
      <c r="G470" s="53">
        <f>SUM(G468:G469)</f>
        <v>143102.35999999999</v>
      </c>
      <c r="H470" s="53">
        <f>SUM(H468:H469)</f>
        <v>158797.01</v>
      </c>
      <c r="I470" s="53">
        <f>SUM(I468:I469)</f>
        <v>0</v>
      </c>
      <c r="J470" s="53">
        <f>SUM(J468:J469)</f>
        <v>28174.99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8099601.8899999997</v>
      </c>
      <c r="G472" s="18">
        <v>137589.46</v>
      </c>
      <c r="H472" s="18">
        <v>158797.01</v>
      </c>
      <c r="I472" s="18"/>
      <c r="J472" s="18">
        <v>1997.95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8099601.8899999997</v>
      </c>
      <c r="G474" s="53">
        <f>SUM(G472:G473)</f>
        <v>137589.46</v>
      </c>
      <c r="H474" s="53">
        <f>SUM(H472:H473)</f>
        <v>158797.01</v>
      </c>
      <c r="I474" s="53">
        <f>SUM(I472:I473)</f>
        <v>0</v>
      </c>
      <c r="J474" s="53">
        <f>SUM(J472:J473)</f>
        <v>1997.95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464569.66000000108</v>
      </c>
      <c r="G476" s="53">
        <f>(G465+G470)- G474</f>
        <v>19794.919999999984</v>
      </c>
      <c r="H476" s="53">
        <f>(H465+H470)- H474</f>
        <v>0</v>
      </c>
      <c r="I476" s="53">
        <f>(I465+I470)- I474</f>
        <v>0</v>
      </c>
      <c r="J476" s="53">
        <f>(J465+J470)- J474</f>
        <v>556304.52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361938.87</v>
      </c>
      <c r="G521" s="18">
        <f>172027.72-48694.86</f>
        <v>123332.86</v>
      </c>
      <c r="H521" s="18">
        <f>11839.25+166049.49</f>
        <v>177888.74</v>
      </c>
      <c r="I521" s="18">
        <v>1626.86</v>
      </c>
      <c r="J521" s="18"/>
      <c r="K521" s="18"/>
      <c r="L521" s="88">
        <f>SUM(F521:K521)</f>
        <v>664787.32999999996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>
        <f>41666.63+7689.5</f>
        <v>49356.13</v>
      </c>
      <c r="I522" s="18"/>
      <c r="J522" s="18"/>
      <c r="K522" s="18"/>
      <c r="L522" s="88">
        <f>SUM(F522:K522)</f>
        <v>49356.13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f>254753.6+93385.72+115376.3+2461.8</f>
        <v>465977.42</v>
      </c>
      <c r="I523" s="18"/>
      <c r="J523" s="18"/>
      <c r="K523" s="18"/>
      <c r="L523" s="88">
        <f>SUM(F523:K523)</f>
        <v>465977.42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361938.87</v>
      </c>
      <c r="G524" s="108">
        <f t="shared" ref="G524:L524" si="36">SUM(G521:G523)</f>
        <v>123332.86</v>
      </c>
      <c r="H524" s="108">
        <f t="shared" si="36"/>
        <v>693222.29</v>
      </c>
      <c r="I524" s="108">
        <f t="shared" si="36"/>
        <v>1626.86</v>
      </c>
      <c r="J524" s="108">
        <f t="shared" si="36"/>
        <v>0</v>
      </c>
      <c r="K524" s="108">
        <f t="shared" si="36"/>
        <v>0</v>
      </c>
      <c r="L524" s="89">
        <f t="shared" si="36"/>
        <v>1180120.8799999999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>
        <v>1983.1</v>
      </c>
      <c r="H526" s="18">
        <f>284920+170</f>
        <v>285090</v>
      </c>
      <c r="I526" s="18">
        <v>3489.79</v>
      </c>
      <c r="J526" s="18"/>
      <c r="K526" s="18"/>
      <c r="L526" s="88">
        <f>SUM(F526:K526)</f>
        <v>290562.88999999996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1983.1</v>
      </c>
      <c r="H529" s="89">
        <f t="shared" si="37"/>
        <v>285090</v>
      </c>
      <c r="I529" s="89">
        <f t="shared" si="37"/>
        <v>3489.79</v>
      </c>
      <c r="J529" s="89">
        <f t="shared" si="37"/>
        <v>0</v>
      </c>
      <c r="K529" s="89">
        <f t="shared" si="37"/>
        <v>0</v>
      </c>
      <c r="L529" s="89">
        <f t="shared" si="37"/>
        <v>290562.88999999996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96751.25</v>
      </c>
      <c r="G531" s="18">
        <v>53472.49</v>
      </c>
      <c r="H531" s="18">
        <f>550.12+5068.68</f>
        <v>5618.8</v>
      </c>
      <c r="I531" s="18"/>
      <c r="J531" s="18">
        <v>775.92</v>
      </c>
      <c r="K531" s="18">
        <v>795</v>
      </c>
      <c r="L531" s="88">
        <f>SUM(F531:K531)</f>
        <v>157413.46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96751.25</v>
      </c>
      <c r="G534" s="89">
        <f t="shared" ref="G534:L534" si="38">SUM(G531:G533)</f>
        <v>53472.49</v>
      </c>
      <c r="H534" s="89">
        <f t="shared" si="38"/>
        <v>5618.8</v>
      </c>
      <c r="I534" s="89">
        <f t="shared" si="38"/>
        <v>0</v>
      </c>
      <c r="J534" s="89">
        <f t="shared" si="38"/>
        <v>775.92</v>
      </c>
      <c r="K534" s="89">
        <f t="shared" si="38"/>
        <v>795</v>
      </c>
      <c r="L534" s="89">
        <f t="shared" si="38"/>
        <v>157413.46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 t="s">
        <v>913</v>
      </c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94992.88</v>
      </c>
      <c r="I543" s="18"/>
      <c r="J543" s="18"/>
      <c r="K543" s="18"/>
      <c r="L543" s="88">
        <f>SUM(F543:K543)</f>
        <v>94992.88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94992.88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94992.88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458690.12</v>
      </c>
      <c r="G545" s="89">
        <f t="shared" ref="G545:L545" si="41">G524+G529+G534+G539+G544</f>
        <v>178788.45</v>
      </c>
      <c r="H545" s="89">
        <f t="shared" si="41"/>
        <v>1078923.9700000002</v>
      </c>
      <c r="I545" s="89">
        <f t="shared" si="41"/>
        <v>5116.6499999999996</v>
      </c>
      <c r="J545" s="89">
        <f t="shared" si="41"/>
        <v>775.92</v>
      </c>
      <c r="K545" s="89">
        <f t="shared" si="41"/>
        <v>795</v>
      </c>
      <c r="L545" s="89">
        <f t="shared" si="41"/>
        <v>1723090.1099999999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664787.32999999996</v>
      </c>
      <c r="G549" s="87">
        <f>L526</f>
        <v>290562.88999999996</v>
      </c>
      <c r="H549" s="87">
        <f>L531</f>
        <v>157413.46</v>
      </c>
      <c r="I549" s="87">
        <f>L536</f>
        <v>0</v>
      </c>
      <c r="J549" s="87">
        <f>L541</f>
        <v>0</v>
      </c>
      <c r="K549" s="87">
        <f>SUM(F549:J549)</f>
        <v>1112763.68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49356.13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49356.13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465977.42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94992.88</v>
      </c>
      <c r="K551" s="87">
        <f>SUM(F551:J551)</f>
        <v>560970.30000000005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1180120.8799999999</v>
      </c>
      <c r="G552" s="89">
        <f t="shared" si="42"/>
        <v>290562.88999999996</v>
      </c>
      <c r="H552" s="89">
        <f t="shared" si="42"/>
        <v>157413.46</v>
      </c>
      <c r="I552" s="89">
        <f t="shared" si="42"/>
        <v>0</v>
      </c>
      <c r="J552" s="89">
        <f t="shared" si="42"/>
        <v>94992.88</v>
      </c>
      <c r="K552" s="89">
        <f t="shared" si="42"/>
        <v>1723090.1099999999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312.12</v>
      </c>
      <c r="G562" s="18">
        <v>47.75</v>
      </c>
      <c r="H562" s="18"/>
      <c r="I562" s="18"/>
      <c r="J562" s="18"/>
      <c r="K562" s="18"/>
      <c r="L562" s="88">
        <f>SUM(F562:K562)</f>
        <v>359.87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312.12</v>
      </c>
      <c r="G565" s="89">
        <f t="shared" si="44"/>
        <v>47.75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359.87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>
        <v>63384.38</v>
      </c>
      <c r="G567" s="18">
        <v>34917.440000000002</v>
      </c>
      <c r="H567" s="18"/>
      <c r="I567" s="18">
        <v>946.71</v>
      </c>
      <c r="J567" s="18"/>
      <c r="K567" s="18"/>
      <c r="L567" s="88">
        <f>SUM(F567:K567)</f>
        <v>99248.530000000013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63384.38</v>
      </c>
      <c r="G570" s="193">
        <f t="shared" ref="G570:L570" si="45">SUM(G567:G569)</f>
        <v>34917.440000000002</v>
      </c>
      <c r="H570" s="193">
        <f t="shared" si="45"/>
        <v>0</v>
      </c>
      <c r="I570" s="193">
        <f t="shared" si="45"/>
        <v>946.71</v>
      </c>
      <c r="J570" s="193">
        <f t="shared" si="45"/>
        <v>0</v>
      </c>
      <c r="K570" s="193">
        <f t="shared" si="45"/>
        <v>0</v>
      </c>
      <c r="L570" s="193">
        <f t="shared" si="45"/>
        <v>99248.530000000013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63696.5</v>
      </c>
      <c r="G571" s="89">
        <f t="shared" ref="G571:L571" si="46">G560+G565+G570</f>
        <v>34965.19</v>
      </c>
      <c r="H571" s="89">
        <f t="shared" si="46"/>
        <v>0</v>
      </c>
      <c r="I571" s="89">
        <f t="shared" si="46"/>
        <v>946.71</v>
      </c>
      <c r="J571" s="89">
        <f t="shared" si="46"/>
        <v>0</v>
      </c>
      <c r="K571" s="89">
        <f t="shared" si="46"/>
        <v>0</v>
      </c>
      <c r="L571" s="89">
        <f t="shared" si="46"/>
        <v>99608.400000000009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1668331.32</v>
      </c>
      <c r="I575" s="87">
        <f>SUM(F575:H575)</f>
        <v>1668331.32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>
        <v>409177.52</v>
      </c>
      <c r="I577" s="87">
        <f t="shared" si="47"/>
        <v>409177.52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f>3715.28</f>
        <v>3715.28</v>
      </c>
      <c r="G579" s="18">
        <f>41666.63</f>
        <v>41666.629999999997</v>
      </c>
      <c r="H579" s="18">
        <f>254753.6</f>
        <v>254753.6</v>
      </c>
      <c r="I579" s="87">
        <f t="shared" si="47"/>
        <v>300135.51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>
        <v>93385.72</v>
      </c>
      <c r="I581" s="87">
        <f t="shared" si="47"/>
        <v>93385.72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f>145066.23+17267.98</f>
        <v>162334.21000000002</v>
      </c>
      <c r="G582" s="18"/>
      <c r="H582" s="18">
        <f>115376.3</f>
        <v>115376.3</v>
      </c>
      <c r="I582" s="87">
        <f t="shared" si="47"/>
        <v>277710.51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186246.06</v>
      </c>
      <c r="I591" s="18"/>
      <c r="J591" s="18">
        <v>66564.47</v>
      </c>
      <c r="K591" s="104">
        <f t="shared" ref="K591:K597" si="48">SUM(H591:J591)</f>
        <v>252810.53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174153.60000000001</v>
      </c>
      <c r="I592" s="18"/>
      <c r="J592" s="18">
        <v>94992.88</v>
      </c>
      <c r="K592" s="104">
        <f t="shared" si="48"/>
        <v>269146.48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10436.4</v>
      </c>
      <c r="I594" s="18"/>
      <c r="J594" s="18"/>
      <c r="K594" s="104">
        <f t="shared" si="48"/>
        <v>10436.4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5413.22</v>
      </c>
      <c r="I595" s="18"/>
      <c r="J595" s="18"/>
      <c r="K595" s="104">
        <f t="shared" si="48"/>
        <v>5413.22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376249.28</v>
      </c>
      <c r="I598" s="108">
        <f>SUM(I591:I597)</f>
        <v>0</v>
      </c>
      <c r="J598" s="108">
        <f>SUM(J591:J597)</f>
        <v>161557.35</v>
      </c>
      <c r="K598" s="108">
        <f>SUM(K591:K597)</f>
        <v>537806.63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46866.45</v>
      </c>
      <c r="I604" s="18"/>
      <c r="J604" s="18"/>
      <c r="K604" s="104">
        <f>SUM(H604:J604)</f>
        <v>46866.45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46866.45</v>
      </c>
      <c r="I605" s="108">
        <f>SUM(I602:I604)</f>
        <v>0</v>
      </c>
      <c r="J605" s="108">
        <f>SUM(J602:J604)</f>
        <v>0</v>
      </c>
      <c r="K605" s="108">
        <f>SUM(K602:K604)</f>
        <v>46866.45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8038</v>
      </c>
      <c r="G611" s="18">
        <v>1515.86</v>
      </c>
      <c r="H611" s="18">
        <f>11839.25+17267.98</f>
        <v>29107.23</v>
      </c>
      <c r="I611" s="18"/>
      <c r="J611" s="18"/>
      <c r="K611" s="18"/>
      <c r="L611" s="88">
        <f>SUM(F611:K611)</f>
        <v>38661.089999999997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>
        <f>7689.5</f>
        <v>7689.5</v>
      </c>
      <c r="I612" s="18"/>
      <c r="J612" s="18"/>
      <c r="K612" s="18"/>
      <c r="L612" s="88">
        <f>SUM(F612:K612)</f>
        <v>7689.5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>
        <f>2461.8</f>
        <v>2461.8000000000002</v>
      </c>
      <c r="I613" s="18"/>
      <c r="J613" s="18"/>
      <c r="K613" s="18"/>
      <c r="L613" s="88">
        <f>SUM(F613:K613)</f>
        <v>2461.8000000000002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8038</v>
      </c>
      <c r="G614" s="108">
        <f t="shared" si="49"/>
        <v>1515.86</v>
      </c>
      <c r="H614" s="108">
        <f t="shared" si="49"/>
        <v>39258.53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48812.39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666395.99</v>
      </c>
      <c r="H617" s="109">
        <f>SUM(F52)</f>
        <v>666395.99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22861.96</v>
      </c>
      <c r="H618" s="109">
        <f>SUM(G52)</f>
        <v>22861.96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41554.490000000005</v>
      </c>
      <c r="H619" s="109">
        <f>SUM(H52)</f>
        <v>41554.49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556304.52</v>
      </c>
      <c r="H621" s="109">
        <f>SUM(J52)</f>
        <v>556304.52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464569.66</v>
      </c>
      <c r="H622" s="109">
        <f>F476</f>
        <v>464569.66000000108</v>
      </c>
      <c r="I622" s="121" t="s">
        <v>101</v>
      </c>
      <c r="J622" s="109">
        <f t="shared" ref="J622:J655" si="50">G622-H622</f>
        <v>-1.1059455573558807E-9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19794.919999999998</v>
      </c>
      <c r="H623" s="109">
        <f>G476</f>
        <v>19794.919999999984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556304.52</v>
      </c>
      <c r="H626" s="109">
        <f>J476</f>
        <v>556304.52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7600783.21</v>
      </c>
      <c r="H627" s="104">
        <f>SUM(F468)</f>
        <v>7600783.21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143102.35999999999</v>
      </c>
      <c r="H628" s="104">
        <f>SUM(G468)</f>
        <v>143102.35999999999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158797.01</v>
      </c>
      <c r="H629" s="104">
        <f>SUM(H468)</f>
        <v>158797.01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28174.99</v>
      </c>
      <c r="H631" s="104">
        <f>SUM(J468)</f>
        <v>28174.99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8099601.8900000006</v>
      </c>
      <c r="H632" s="104">
        <f>SUM(F472)</f>
        <v>8099601.8899999997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158797.00999999998</v>
      </c>
      <c r="H633" s="104">
        <f>SUM(H472)</f>
        <v>158797.01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68297.31</v>
      </c>
      <c r="H634" s="104">
        <f>I369</f>
        <v>68297.31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137589.46</v>
      </c>
      <c r="H635" s="104">
        <f>SUM(G472)</f>
        <v>137589.46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28174.99</v>
      </c>
      <c r="H637" s="164">
        <f>SUM(J468)</f>
        <v>28174.99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1997.9499999999998</v>
      </c>
      <c r="H638" s="164">
        <f>SUM(J472)</f>
        <v>1997.95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283159.11</v>
      </c>
      <c r="H639" s="104">
        <f>SUM(F461)</f>
        <v>283159.11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273145.40999999997</v>
      </c>
      <c r="H640" s="104">
        <f>SUM(G461)</f>
        <v>273145.40999999997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556304.52</v>
      </c>
      <c r="H642" s="104">
        <f>SUM(I461)</f>
        <v>556304.52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1174.99</v>
      </c>
      <c r="H644" s="104">
        <f>H408</f>
        <v>1174.9900000000002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27000</v>
      </c>
      <c r="H645" s="104">
        <f>G408</f>
        <v>27000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28174.99</v>
      </c>
      <c r="H646" s="104">
        <f>L408</f>
        <v>28174.99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537806.63</v>
      </c>
      <c r="H647" s="104">
        <f>L208+L226+L244</f>
        <v>537806.63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46866.45</v>
      </c>
      <c r="H648" s="104">
        <f>(J257+J338)-(J255+J336)</f>
        <v>46866.450000000004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376249.28</v>
      </c>
      <c r="H649" s="104">
        <f>H598</f>
        <v>376249.28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161557.35</v>
      </c>
      <c r="H651" s="104">
        <f>J598</f>
        <v>161557.35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27000</v>
      </c>
      <c r="H655" s="104">
        <f>K266+K347</f>
        <v>27000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5611971.3600000003</v>
      </c>
      <c r="G660" s="19">
        <f>(L229+L309+L359)</f>
        <v>49356.13</v>
      </c>
      <c r="H660" s="19">
        <f>(L247+L328+L360)</f>
        <v>2705213.6100000003</v>
      </c>
      <c r="I660" s="19">
        <f>SUM(F660:H660)</f>
        <v>8366541.1000000006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87862.65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87862.65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376249.28</v>
      </c>
      <c r="G662" s="19">
        <f>(L226+L306)-(J226+J306)</f>
        <v>0</v>
      </c>
      <c r="H662" s="19">
        <f>(L244+L325)-(J244+J325)</f>
        <v>161557.35</v>
      </c>
      <c r="I662" s="19">
        <f>SUM(F662:H662)</f>
        <v>537806.63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251577.03</v>
      </c>
      <c r="G663" s="199">
        <f>SUM(G575:G587)+SUM(I602:I604)+L612</f>
        <v>49356.13</v>
      </c>
      <c r="H663" s="199">
        <f>SUM(H575:H587)+SUM(J602:J604)+L613</f>
        <v>2543486.2599999998</v>
      </c>
      <c r="I663" s="19">
        <f>SUM(F663:H663)</f>
        <v>2844419.42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4896282.4000000004</v>
      </c>
      <c r="G664" s="19">
        <f>G660-SUM(G661:G663)</f>
        <v>0</v>
      </c>
      <c r="H664" s="19">
        <f>H660-SUM(H661:H663)</f>
        <v>170.00000000046566</v>
      </c>
      <c r="I664" s="19">
        <f>I660-SUM(I661:I663)</f>
        <v>4896452.4000000004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315.22000000000003</v>
      </c>
      <c r="G665" s="248"/>
      <c r="H665" s="248"/>
      <c r="I665" s="19">
        <f>SUM(F665:H665)</f>
        <v>315.22000000000003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15532.91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15533.44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-170</v>
      </c>
      <c r="I669" s="19">
        <f>SUM(F669:H669)</f>
        <v>-170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15532.91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15532.91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3" workbookViewId="0">
      <selection activeCell="B40" sqref="B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Candia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1464117.54</v>
      </c>
      <c r="C9" s="229">
        <f>'DOE25'!G197+'DOE25'!G215+'DOE25'!G233+'DOE25'!G276+'DOE25'!G295+'DOE25'!G314</f>
        <v>787711.44000000006</v>
      </c>
    </row>
    <row r="10" spans="1:3" x14ac:dyDescent="0.2">
      <c r="A10" t="s">
        <v>778</v>
      </c>
      <c r="B10" s="240">
        <f>1410172.78+22533.76</f>
        <v>1432706.54</v>
      </c>
      <c r="C10" s="240">
        <v>785308.49</v>
      </c>
    </row>
    <row r="11" spans="1:3" x14ac:dyDescent="0.2">
      <c r="A11" t="s">
        <v>779</v>
      </c>
      <c r="B11" s="240">
        <v>18601</v>
      </c>
      <c r="C11" s="240">
        <v>1422.98</v>
      </c>
    </row>
    <row r="12" spans="1:3" x14ac:dyDescent="0.2">
      <c r="A12" t="s">
        <v>780</v>
      </c>
      <c r="B12" s="240">
        <v>12810</v>
      </c>
      <c r="C12" s="240">
        <v>979.97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1464117.54</v>
      </c>
      <c r="C13" s="231">
        <f>SUM(C10:C12)</f>
        <v>787711.44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485330.3</v>
      </c>
      <c r="C18" s="229">
        <f>'DOE25'!G198+'DOE25'!G216+'DOE25'!G234+'DOE25'!G277+'DOE25'!G296+'DOE25'!G315</f>
        <v>178741.99</v>
      </c>
    </row>
    <row r="19" spans="1:3" x14ac:dyDescent="0.2">
      <c r="A19" t="s">
        <v>778</v>
      </c>
      <c r="B19" s="240">
        <f>177813.04+63384.38+7375</f>
        <v>248572.42</v>
      </c>
      <c r="C19" s="240">
        <f>137864.53-25530.6-1559.07+861.85+614.8+34917.44</f>
        <v>147168.95000000001</v>
      </c>
    </row>
    <row r="20" spans="1:3" x14ac:dyDescent="0.2">
      <c r="A20" t="s">
        <v>779</v>
      </c>
      <c r="B20" s="240">
        <f>112391.33+26640.18+663+312.12</f>
        <v>140006.63</v>
      </c>
      <c r="C20" s="240">
        <f>1936.64+2459.77+47.75+39.21</f>
        <v>4483.37</v>
      </c>
    </row>
    <row r="21" spans="1:3" x14ac:dyDescent="0.2">
      <c r="A21" t="s">
        <v>780</v>
      </c>
      <c r="B21" s="240">
        <v>96751.25</v>
      </c>
      <c r="C21" s="240">
        <f>25530.6+1559.07</f>
        <v>27089.67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485330.30000000005</v>
      </c>
      <c r="C22" s="231">
        <f>SUM(C19:C21)</f>
        <v>178741.99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24600</v>
      </c>
      <c r="C36" s="235">
        <f>'DOE25'!G200+'DOE25'!G218+'DOE25'!G236+'DOE25'!G279+'DOE25'!G298+'DOE25'!G317</f>
        <v>4548.08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24600</v>
      </c>
      <c r="C39" s="240">
        <v>4548.08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24600</v>
      </c>
      <c r="C40" s="231">
        <f>SUM(C37:C39)</f>
        <v>4548.08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I51"/>
  <sheetViews>
    <sheetView workbookViewId="0">
      <pane ySplit="4" topLeftCell="A5" activePane="bottomLeft" state="frozen"/>
      <selection activeCell="F46" sqref="F46"/>
      <selection pane="bottomLeft" activeCell="B10" sqref="B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Candia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5783173.2800000012</v>
      </c>
      <c r="D5" s="20">
        <f>SUM('DOE25'!L197:L200)+SUM('DOE25'!L215:L218)+SUM('DOE25'!L233:L236)-F5-G5</f>
        <v>5774430.7600000016</v>
      </c>
      <c r="E5" s="243"/>
      <c r="F5" s="255">
        <f>SUM('DOE25'!J197:J200)+SUM('DOE25'!J215:J218)+SUM('DOE25'!J233:J236)</f>
        <v>7250.02</v>
      </c>
      <c r="G5" s="53">
        <f>SUM('DOE25'!K197:K200)+SUM('DOE25'!K215:K218)+SUM('DOE25'!K233:K236)</f>
        <v>1492.5</v>
      </c>
      <c r="H5" s="259"/>
    </row>
    <row r="6" spans="1:9" x14ac:dyDescent="0.2">
      <c r="A6" s="32">
        <v>2100</v>
      </c>
      <c r="B6" t="s">
        <v>800</v>
      </c>
      <c r="C6" s="245">
        <f t="shared" si="0"/>
        <v>428676.10999999993</v>
      </c>
      <c r="D6" s="20">
        <f>'DOE25'!L202+'DOE25'!L220+'DOE25'!L238-F6-G6</f>
        <v>426582.83999999997</v>
      </c>
      <c r="E6" s="243"/>
      <c r="F6" s="255">
        <f>'DOE25'!J202+'DOE25'!J220+'DOE25'!J238</f>
        <v>852.47</v>
      </c>
      <c r="G6" s="53">
        <f>'DOE25'!K202+'DOE25'!K220+'DOE25'!K238</f>
        <v>1240.8</v>
      </c>
      <c r="H6" s="259"/>
    </row>
    <row r="7" spans="1:9" x14ac:dyDescent="0.2">
      <c r="A7" s="32">
        <v>2200</v>
      </c>
      <c r="B7" t="s">
        <v>833</v>
      </c>
      <c r="C7" s="245">
        <f t="shared" si="0"/>
        <v>95598.430000000008</v>
      </c>
      <c r="D7" s="20">
        <f>'DOE25'!L203+'DOE25'!L221+'DOE25'!L239-F7-G7</f>
        <v>95449.430000000008</v>
      </c>
      <c r="E7" s="243"/>
      <c r="F7" s="255">
        <f>'DOE25'!J203+'DOE25'!J221+'DOE25'!J239</f>
        <v>149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100673.62000000001</v>
      </c>
      <c r="D8" s="243"/>
      <c r="E8" s="20">
        <f>'DOE25'!L204+'DOE25'!L222+'DOE25'!L240-F8-G8-D9-D11</f>
        <v>95326.38</v>
      </c>
      <c r="F8" s="255">
        <f>'DOE25'!J204+'DOE25'!J222+'DOE25'!J240</f>
        <v>0</v>
      </c>
      <c r="G8" s="53">
        <f>'DOE25'!K204+'DOE25'!K222+'DOE25'!K240</f>
        <v>5347.24</v>
      </c>
      <c r="H8" s="259"/>
    </row>
    <row r="9" spans="1:9" x14ac:dyDescent="0.2">
      <c r="A9" s="32">
        <v>2310</v>
      </c>
      <c r="B9" t="s">
        <v>817</v>
      </c>
      <c r="C9" s="245">
        <f t="shared" si="0"/>
        <v>72267.48</v>
      </c>
      <c r="D9" s="244">
        <v>72267.48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10500</v>
      </c>
      <c r="D10" s="243"/>
      <c r="E10" s="244">
        <v>10500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66421.070000000007</v>
      </c>
      <c r="D11" s="244">
        <v>66421.070000000007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366405.29</v>
      </c>
      <c r="D12" s="20">
        <f>'DOE25'!L205+'DOE25'!L223+'DOE25'!L241-F12-G12</f>
        <v>362073.33999999997</v>
      </c>
      <c r="E12" s="243"/>
      <c r="F12" s="255">
        <f>'DOE25'!J205+'DOE25'!J223+'DOE25'!J241</f>
        <v>2621.95</v>
      </c>
      <c r="G12" s="53">
        <f>'DOE25'!K205+'DOE25'!K223+'DOE25'!K241</f>
        <v>1710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486710.6</v>
      </c>
      <c r="D14" s="20">
        <f>'DOE25'!L207+'DOE25'!L225+'DOE25'!L243-F14-G14</f>
        <v>483873.69999999995</v>
      </c>
      <c r="E14" s="243"/>
      <c r="F14" s="255">
        <f>'DOE25'!J207+'DOE25'!J225+'DOE25'!J243</f>
        <v>2836.9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537806.63</v>
      </c>
      <c r="D15" s="20">
        <f>'DOE25'!L208+'DOE25'!L226+'DOE25'!L244-F15-G15</f>
        <v>537806.63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132422.12</v>
      </c>
      <c r="D16" s="243"/>
      <c r="E16" s="20">
        <f>'DOE25'!L209+'DOE25'!L227+'DOE25'!L245-F16-G16</f>
        <v>112375.12999999999</v>
      </c>
      <c r="F16" s="255">
        <f>'DOE25'!J209+'DOE25'!J227+'DOE25'!J245</f>
        <v>20046.990000000002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74379.979999999981</v>
      </c>
      <c r="D29" s="20">
        <f>'DOE25'!L358+'DOE25'!L359+'DOE25'!L360-'DOE25'!I367-F29-G29</f>
        <v>73431.499999999985</v>
      </c>
      <c r="E29" s="243"/>
      <c r="F29" s="255">
        <f>'DOE25'!J358+'DOE25'!J359+'DOE25'!J360</f>
        <v>498.48</v>
      </c>
      <c r="G29" s="53">
        <f>'DOE25'!K358+'DOE25'!K359+'DOE25'!K360</f>
        <v>450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158797.00999999998</v>
      </c>
      <c r="D31" s="20">
        <f>'DOE25'!L290+'DOE25'!L309+'DOE25'!L328+'DOE25'!L333+'DOE25'!L334+'DOE25'!L335-F31-G31</f>
        <v>142132.91999999998</v>
      </c>
      <c r="E31" s="243"/>
      <c r="F31" s="255">
        <f>'DOE25'!J290+'DOE25'!J309+'DOE25'!J328+'DOE25'!J333+'DOE25'!J334+'DOE25'!J335</f>
        <v>13109.12</v>
      </c>
      <c r="G31" s="53">
        <f>'DOE25'!K290+'DOE25'!K309+'DOE25'!K328+'DOE25'!K333+'DOE25'!K334+'DOE25'!K335</f>
        <v>3554.97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8034469.6700000018</v>
      </c>
      <c r="E33" s="246">
        <f>SUM(E5:E31)</f>
        <v>218201.51</v>
      </c>
      <c r="F33" s="246">
        <f>SUM(F5:F31)</f>
        <v>47364.930000000008</v>
      </c>
      <c r="G33" s="246">
        <f>SUM(G5:G31)</f>
        <v>13795.51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218201.51</v>
      </c>
      <c r="E35" s="249"/>
    </row>
    <row r="36" spans="2:8" ht="12" thickTop="1" x14ac:dyDescent="0.2">
      <c r="B36" t="s">
        <v>814</v>
      </c>
      <c r="D36" s="20">
        <f>D33</f>
        <v>8034469.6700000018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2" sqref="A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Candia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631118.97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34368.39</v>
      </c>
      <c r="D11" s="95">
        <f>'DOE25'!G12</f>
        <v>19188.78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908.63</v>
      </c>
      <c r="D12" s="95">
        <f>'DOE25'!G13</f>
        <v>3673.18</v>
      </c>
      <c r="E12" s="95">
        <f>'DOE25'!H13</f>
        <v>40745.08</v>
      </c>
      <c r="F12" s="95">
        <f>'DOE25'!I13</f>
        <v>0</v>
      </c>
      <c r="G12" s="95">
        <f>'DOE25'!J13</f>
        <v>556304.52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809.41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666395.99</v>
      </c>
      <c r="D18" s="41">
        <f>SUM(D8:D17)</f>
        <v>22861.96</v>
      </c>
      <c r="E18" s="41">
        <f>SUM(E8:E17)</f>
        <v>41554.490000000005</v>
      </c>
      <c r="F18" s="41">
        <f>SUM(F8:F17)</f>
        <v>0</v>
      </c>
      <c r="G18" s="41">
        <f>SUM(G8:G17)</f>
        <v>556304.52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19188.78</v>
      </c>
      <c r="D21" s="95">
        <f>'DOE25'!G22</f>
        <v>0</v>
      </c>
      <c r="E21" s="95">
        <f>'DOE25'!H22</f>
        <v>34368.39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132881.41</v>
      </c>
      <c r="D23" s="95">
        <f>'DOE25'!G24</f>
        <v>441.38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49756.14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2625.66</v>
      </c>
      <c r="E29" s="95">
        <f>'DOE25'!H30</f>
        <v>7186.1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201826.33000000002</v>
      </c>
      <c r="D31" s="41">
        <f>SUM(D21:D30)</f>
        <v>3067.04</v>
      </c>
      <c r="E31" s="41">
        <f>SUM(E21:E30)</f>
        <v>41554.49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12719.96</v>
      </c>
      <c r="E47" s="95">
        <f>'DOE25'!H48</f>
        <v>0</v>
      </c>
      <c r="F47" s="95">
        <f>'DOE25'!I48</f>
        <v>0</v>
      </c>
      <c r="G47" s="95">
        <f>'DOE25'!J48</f>
        <v>556304.52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59475.6</v>
      </c>
      <c r="D48" s="95">
        <f>'DOE25'!G49</f>
        <v>7074.96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405094.06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464569.66</v>
      </c>
      <c r="D50" s="41">
        <f>SUM(D34:D49)</f>
        <v>19794.919999999998</v>
      </c>
      <c r="E50" s="41">
        <f>SUM(E34:E49)</f>
        <v>0</v>
      </c>
      <c r="F50" s="41">
        <f>SUM(F34:F49)</f>
        <v>0</v>
      </c>
      <c r="G50" s="41">
        <f>SUM(G34:G49)</f>
        <v>556304.52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666395.99</v>
      </c>
      <c r="D51" s="41">
        <f>D50+D31</f>
        <v>22861.96</v>
      </c>
      <c r="E51" s="41">
        <f>E50+E31</f>
        <v>41554.49</v>
      </c>
      <c r="F51" s="41">
        <f>F50+F31</f>
        <v>0</v>
      </c>
      <c r="G51" s="41">
        <f>G50+G31</f>
        <v>556304.52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5591987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6436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152.57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1174.99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87862.65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9128.5499999999993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15717.119999999999</v>
      </c>
      <c r="D62" s="130">
        <f>SUM(D57:D61)</f>
        <v>87862.65</v>
      </c>
      <c r="E62" s="130">
        <f>SUM(E57:E61)</f>
        <v>0</v>
      </c>
      <c r="F62" s="130">
        <f>SUM(F57:F61)</f>
        <v>0</v>
      </c>
      <c r="G62" s="130">
        <f>SUM(G57:G61)</f>
        <v>1174.99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5607704.1200000001</v>
      </c>
      <c r="D63" s="22">
        <f>D56+D62</f>
        <v>87862.65</v>
      </c>
      <c r="E63" s="22">
        <f>E56+E62</f>
        <v>0</v>
      </c>
      <c r="F63" s="22">
        <f>F56+F62</f>
        <v>0</v>
      </c>
      <c r="G63" s="22">
        <f>G56+G62</f>
        <v>1174.99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1005213.08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917432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6714.27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1929359.35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39596.11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1922.03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39596.11</v>
      </c>
      <c r="D78" s="130">
        <f>SUM(D72:D77)</f>
        <v>1922.03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1968955.4600000002</v>
      </c>
      <c r="D81" s="130">
        <f>SUM(D79:D80)+D78+D70</f>
        <v>1922.03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24123.63</v>
      </c>
      <c r="D88" s="95">
        <f>SUM('DOE25'!G153:G161)</f>
        <v>53317.68</v>
      </c>
      <c r="E88" s="95">
        <f>SUM('DOE25'!H153:H161)</f>
        <v>158471.39000000001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325.62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24123.63</v>
      </c>
      <c r="D91" s="131">
        <f>SUM(D85:D90)</f>
        <v>53317.68</v>
      </c>
      <c r="E91" s="131">
        <f>SUM(E85:E90)</f>
        <v>158797.01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27000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27000</v>
      </c>
    </row>
    <row r="104" spans="1:7" ht="12.75" thickTop="1" thickBot="1" x14ac:dyDescent="0.25">
      <c r="A104" s="33" t="s">
        <v>764</v>
      </c>
      <c r="C104" s="86">
        <f>C63+C81+C91+C103</f>
        <v>7600783.21</v>
      </c>
      <c r="D104" s="86">
        <f>D63+D81+D91+D103</f>
        <v>143102.35999999999</v>
      </c>
      <c r="E104" s="86">
        <f>E63+E81+E91+E103</f>
        <v>158797.01</v>
      </c>
      <c r="F104" s="86">
        <f>F63+F81+F91+F103</f>
        <v>0</v>
      </c>
      <c r="G104" s="86">
        <f>G63+G81+G103</f>
        <v>28174.99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4354266.8100000005</v>
      </c>
      <c r="D109" s="24" t="s">
        <v>288</v>
      </c>
      <c r="E109" s="95">
        <f>('DOE25'!L276)+('DOE25'!L295)+('DOE25'!L314)</f>
        <v>29935.05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1384044.46</v>
      </c>
      <c r="D110" s="24" t="s">
        <v>288</v>
      </c>
      <c r="E110" s="95">
        <f>('DOE25'!L277)+('DOE25'!L296)+('DOE25'!L315)</f>
        <v>34872.89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44862.01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5783173.2800000003</v>
      </c>
      <c r="D115" s="86">
        <f>SUM(D109:D114)</f>
        <v>0</v>
      </c>
      <c r="E115" s="86">
        <f>SUM(E109:E114)</f>
        <v>64807.94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428676.10999999993</v>
      </c>
      <c r="D118" s="24" t="s">
        <v>288</v>
      </c>
      <c r="E118" s="95">
        <f>+('DOE25'!L281)+('DOE25'!L300)+('DOE25'!L319)</f>
        <v>34927.5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95598.430000000008</v>
      </c>
      <c r="D119" s="24" t="s">
        <v>288</v>
      </c>
      <c r="E119" s="95">
        <f>+('DOE25'!L282)+('DOE25'!L301)+('DOE25'!L320)</f>
        <v>42247.979999999996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239362.16999999998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366405.29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3554.97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486710.6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537806.63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132422.12</v>
      </c>
      <c r="D125" s="24" t="s">
        <v>288</v>
      </c>
      <c r="E125" s="95">
        <f>+('DOE25'!L288)+('DOE25'!L307)+('DOE25'!L326)</f>
        <v>13258.62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137589.46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2286981.35</v>
      </c>
      <c r="D128" s="86">
        <f>SUM(D118:D127)</f>
        <v>137589.46</v>
      </c>
      <c r="E128" s="86">
        <f>SUM(E118:E127)</f>
        <v>93989.069999999992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600.20000000000005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27574.79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-1174.9900000000016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2447.2600000000002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29447.260000000002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8099601.8900000006</v>
      </c>
      <c r="D145" s="86">
        <f>(D115+D128+D144)</f>
        <v>137589.46</v>
      </c>
      <c r="E145" s="86">
        <f>(E115+E128+E144)</f>
        <v>158797.01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Candia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15533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15533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4384202</v>
      </c>
      <c r="D10" s="182">
        <f>ROUND((C10/$C$28)*100,1)</f>
        <v>52.9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1418917</v>
      </c>
      <c r="D11" s="182">
        <f>ROUND((C11/$C$28)*100,1)</f>
        <v>17.100000000000001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44862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463604</v>
      </c>
      <c r="D15" s="182">
        <f t="shared" ref="D15:D27" si="0">ROUND((C15/$C$28)*100,1)</f>
        <v>5.6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137846</v>
      </c>
      <c r="D16" s="182">
        <f t="shared" si="0"/>
        <v>1.7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385043</v>
      </c>
      <c r="D17" s="182">
        <f t="shared" si="0"/>
        <v>4.5999999999999996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366405</v>
      </c>
      <c r="D18" s="182">
        <f t="shared" si="0"/>
        <v>4.4000000000000004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3555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486711</v>
      </c>
      <c r="D20" s="182">
        <f t="shared" si="0"/>
        <v>5.9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537807</v>
      </c>
      <c r="D21" s="182">
        <f t="shared" si="0"/>
        <v>6.5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2447.2600000000002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49726.350000000006</v>
      </c>
      <c r="D27" s="182">
        <f t="shared" si="0"/>
        <v>0.6</v>
      </c>
    </row>
    <row r="28" spans="1:4" x14ac:dyDescent="0.2">
      <c r="B28" s="187" t="s">
        <v>722</v>
      </c>
      <c r="C28" s="180">
        <f>SUM(C10:C27)</f>
        <v>8281125.6099999994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8281125.6099999994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5591987</v>
      </c>
      <c r="D35" s="182">
        <f t="shared" ref="D35:D40" si="1">ROUND((C35/$C$41)*100,1)</f>
        <v>71.5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16892.110000000335</v>
      </c>
      <c r="D36" s="182">
        <f t="shared" si="1"/>
        <v>0.2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1922645</v>
      </c>
      <c r="D37" s="182">
        <f t="shared" si="1"/>
        <v>24.6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48232</v>
      </c>
      <c r="D38" s="182">
        <f t="shared" si="1"/>
        <v>0.6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236238</v>
      </c>
      <c r="D39" s="182">
        <f t="shared" si="1"/>
        <v>3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7815994.1100000003</v>
      </c>
      <c r="D41" s="184">
        <f>SUM(D35:D40)</f>
        <v>99.9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Candia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2017-09-27T14:38:26Z</cp:lastPrinted>
  <dcterms:created xsi:type="dcterms:W3CDTF">1997-12-04T19:04:30Z</dcterms:created>
  <dcterms:modified xsi:type="dcterms:W3CDTF">2017-11-29T17:11:02Z</dcterms:modified>
</cp:coreProperties>
</file>