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1570" windowHeight="81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37" i="12" l="1"/>
  <c r="B37" i="12"/>
  <c r="C19" i="12"/>
  <c r="C20" i="12"/>
  <c r="C10" i="12"/>
  <c r="G276" i="1"/>
  <c r="B21" i="12"/>
  <c r="B19" i="12"/>
  <c r="B20" i="12"/>
  <c r="B10" i="12" l="1"/>
  <c r="F276" i="1"/>
  <c r="H277" i="1"/>
  <c r="F277" i="1"/>
  <c r="B12" i="12"/>
  <c r="B11" i="12"/>
  <c r="H244" i="1"/>
  <c r="H541" i="1"/>
  <c r="H543" i="1"/>
  <c r="H592" i="1"/>
  <c r="J592" i="1"/>
  <c r="F24" i="1" l="1"/>
  <c r="H531" i="1"/>
  <c r="H528" i="1" l="1"/>
  <c r="H526" i="1"/>
  <c r="G528" i="1"/>
  <c r="G526" i="1"/>
  <c r="F528" i="1"/>
  <c r="F526" i="1"/>
  <c r="I526" i="1"/>
  <c r="I531" i="1"/>
  <c r="G531" i="1"/>
  <c r="F531" i="1"/>
  <c r="J526" i="1"/>
  <c r="H319" i="1"/>
  <c r="H281" i="1"/>
  <c r="F281" i="1"/>
  <c r="H315" i="1"/>
  <c r="F50" i="1" l="1"/>
  <c r="H604" i="1" l="1"/>
  <c r="H238" i="1"/>
  <c r="G238" i="1"/>
  <c r="F110" i="1" l="1"/>
  <c r="F12" i="1"/>
  <c r="F29" i="1" l="1"/>
  <c r="F9" i="1" l="1"/>
  <c r="F368" i="1" l="1"/>
  <c r="F367" i="1"/>
  <c r="I358" i="1"/>
  <c r="H358" i="1"/>
  <c r="G358" i="1"/>
  <c r="G158" i="1"/>
  <c r="G40" i="1" l="1"/>
  <c r="J276" i="1"/>
  <c r="I276" i="1"/>
  <c r="H276" i="1"/>
  <c r="I277" i="1"/>
  <c r="H155" i="1" l="1"/>
  <c r="H159" i="1"/>
  <c r="H154" i="1" l="1"/>
  <c r="H15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I147" i="1"/>
  <c r="I169" i="1" s="1"/>
  <c r="I162" i="1"/>
  <c r="C12" i="10"/>
  <c r="C18" i="10"/>
  <c r="L250" i="1"/>
  <c r="L332" i="1"/>
  <c r="L254" i="1"/>
  <c r="L268" i="1"/>
  <c r="L269" i="1"/>
  <c r="L349" i="1"/>
  <c r="L350" i="1"/>
  <c r="E143" i="2" s="1"/>
  <c r="I665" i="1"/>
  <c r="I670" i="1"/>
  <c r="L229" i="1"/>
  <c r="F661" i="1"/>
  <c r="G661" i="1"/>
  <c r="H661" i="1"/>
  <c r="I661" i="1" s="1"/>
  <c r="H662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K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E111" i="2"/>
  <c r="E112" i="2"/>
  <c r="C113" i="2"/>
  <c r="E113" i="2"/>
  <c r="E114" i="2"/>
  <c r="D115" i="2"/>
  <c r="F115" i="2"/>
  <c r="G115" i="2"/>
  <c r="E119" i="2"/>
  <c r="E120" i="2"/>
  <c r="C121" i="2"/>
  <c r="E121" i="2"/>
  <c r="E122" i="2"/>
  <c r="E123" i="2"/>
  <c r="E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J645" i="1" s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F470" i="1"/>
  <c r="G470" i="1"/>
  <c r="G476" i="1" s="1"/>
  <c r="H623" i="1" s="1"/>
  <c r="H470" i="1"/>
  <c r="I470" i="1"/>
  <c r="J470" i="1"/>
  <c r="J476" i="1" s="1"/>
  <c r="H626" i="1" s="1"/>
  <c r="F474" i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G641" i="1"/>
  <c r="J641" i="1" s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L256" i="1"/>
  <c r="C26" i="10"/>
  <c r="L351" i="1"/>
  <c r="C70" i="2"/>
  <c r="D62" i="2"/>
  <c r="D18" i="13"/>
  <c r="C18" i="13" s="1"/>
  <c r="D7" i="13"/>
  <c r="C7" i="13" s="1"/>
  <c r="D17" i="13"/>
  <c r="C17" i="13" s="1"/>
  <c r="F78" i="2"/>
  <c r="F81" i="2" s="1"/>
  <c r="C78" i="2"/>
  <c r="D50" i="2"/>
  <c r="F18" i="2"/>
  <c r="E103" i="2"/>
  <c r="E62" i="2"/>
  <c r="E63" i="2" s="1"/>
  <c r="G62" i="2"/>
  <c r="D19" i="13"/>
  <c r="C19" i="13" s="1"/>
  <c r="E13" i="13"/>
  <c r="C13" i="13" s="1"/>
  <c r="E78" i="2"/>
  <c r="E81" i="2" s="1"/>
  <c r="J571" i="1"/>
  <c r="F476" i="1"/>
  <c r="H622" i="1" s="1"/>
  <c r="F571" i="1"/>
  <c r="I552" i="1"/>
  <c r="G22" i="2"/>
  <c r="L401" i="1"/>
  <c r="C139" i="2" s="1"/>
  <c r="A13" i="12"/>
  <c r="F22" i="13"/>
  <c r="C22" i="13" s="1"/>
  <c r="H571" i="1"/>
  <c r="L309" i="1"/>
  <c r="E16" i="13"/>
  <c r="I571" i="1"/>
  <c r="G36" i="2"/>
  <c r="L565" i="1"/>
  <c r="D12" i="13" l="1"/>
  <c r="C12" i="13" s="1"/>
  <c r="A40" i="12"/>
  <c r="A31" i="12"/>
  <c r="J651" i="1"/>
  <c r="K551" i="1"/>
  <c r="J552" i="1"/>
  <c r="H545" i="1"/>
  <c r="K545" i="1"/>
  <c r="H552" i="1"/>
  <c r="J545" i="1"/>
  <c r="I545" i="1"/>
  <c r="G545" i="1"/>
  <c r="G552" i="1"/>
  <c r="G338" i="1"/>
  <c r="G352" i="1" s="1"/>
  <c r="F338" i="1"/>
  <c r="F352" i="1" s="1"/>
  <c r="E118" i="2"/>
  <c r="L328" i="1"/>
  <c r="H338" i="1"/>
  <c r="H352" i="1" s="1"/>
  <c r="C11" i="10"/>
  <c r="J640" i="1"/>
  <c r="J644" i="1"/>
  <c r="J622" i="1"/>
  <c r="G649" i="1"/>
  <c r="C17" i="10"/>
  <c r="C120" i="2"/>
  <c r="E8" i="13"/>
  <c r="C8" i="13" s="1"/>
  <c r="G257" i="1"/>
  <c r="G271" i="1" s="1"/>
  <c r="F257" i="1"/>
  <c r="F271" i="1" s="1"/>
  <c r="H257" i="1"/>
  <c r="H271" i="1" s="1"/>
  <c r="H25" i="13"/>
  <c r="C25" i="13" s="1"/>
  <c r="C132" i="2"/>
  <c r="H33" i="13"/>
  <c r="C32" i="10"/>
  <c r="H647" i="1"/>
  <c r="C21" i="10"/>
  <c r="C124" i="2"/>
  <c r="D14" i="13"/>
  <c r="C14" i="13" s="1"/>
  <c r="C118" i="2"/>
  <c r="L247" i="1"/>
  <c r="I257" i="1"/>
  <c r="I271" i="1" s="1"/>
  <c r="D5" i="13"/>
  <c r="C5" i="13" s="1"/>
  <c r="F192" i="1"/>
  <c r="C91" i="2"/>
  <c r="F112" i="1"/>
  <c r="C56" i="2"/>
  <c r="C35" i="10"/>
  <c r="J617" i="1"/>
  <c r="C18" i="2"/>
  <c r="K605" i="1"/>
  <c r="G648" i="1" s="1"/>
  <c r="I369" i="1"/>
  <c r="H634" i="1" s="1"/>
  <c r="H169" i="1"/>
  <c r="H193" i="1" s="1"/>
  <c r="G629" i="1" s="1"/>
  <c r="J629" i="1" s="1"/>
  <c r="H476" i="1"/>
  <c r="H624" i="1" s="1"/>
  <c r="D145" i="2"/>
  <c r="D91" i="2"/>
  <c r="J623" i="1"/>
  <c r="D31" i="2"/>
  <c r="D18" i="2"/>
  <c r="J649" i="1"/>
  <c r="K598" i="1"/>
  <c r="G647" i="1" s="1"/>
  <c r="E115" i="2"/>
  <c r="C10" i="10"/>
  <c r="L290" i="1"/>
  <c r="E128" i="2"/>
  <c r="J634" i="1"/>
  <c r="C16" i="13"/>
  <c r="K550" i="1"/>
  <c r="D29" i="13"/>
  <c r="C29" i="13" s="1"/>
  <c r="C81" i="2"/>
  <c r="G624" i="1"/>
  <c r="J624" i="1" s="1"/>
  <c r="L534" i="1"/>
  <c r="K500" i="1"/>
  <c r="I460" i="1"/>
  <c r="I452" i="1"/>
  <c r="I446" i="1"/>
  <c r="G642" i="1" s="1"/>
  <c r="C123" i="2"/>
  <c r="C119" i="2"/>
  <c r="C112" i="2"/>
  <c r="C115" i="2" s="1"/>
  <c r="F85" i="2"/>
  <c r="L211" i="1"/>
  <c r="C20" i="10"/>
  <c r="G81" i="2"/>
  <c r="C62" i="2"/>
  <c r="C63" i="2" s="1"/>
  <c r="D56" i="2"/>
  <c r="D63" i="2" s="1"/>
  <c r="G662" i="1"/>
  <c r="I662" i="1" s="1"/>
  <c r="C19" i="10"/>
  <c r="C15" i="10"/>
  <c r="G112" i="1"/>
  <c r="K503" i="1"/>
  <c r="L382" i="1"/>
  <c r="G636" i="1" s="1"/>
  <c r="J636" i="1" s="1"/>
  <c r="K338" i="1"/>
  <c r="K352" i="1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C27" i="10"/>
  <c r="G635" i="1"/>
  <c r="J635" i="1" s="1"/>
  <c r="K552" i="1" l="1"/>
  <c r="E33" i="13"/>
  <c r="D35" i="13" s="1"/>
  <c r="L545" i="1"/>
  <c r="H660" i="1"/>
  <c r="H664" i="1" s="1"/>
  <c r="H672" i="1" s="1"/>
  <c r="C6" i="10" s="1"/>
  <c r="H646" i="1"/>
  <c r="J647" i="1"/>
  <c r="L257" i="1"/>
  <c r="L271" i="1" s="1"/>
  <c r="G632" i="1" s="1"/>
  <c r="J632" i="1" s="1"/>
  <c r="C128" i="2"/>
  <c r="C145" i="2" s="1"/>
  <c r="F660" i="1"/>
  <c r="F664" i="1" s="1"/>
  <c r="F672" i="1" s="1"/>
  <c r="C4" i="10" s="1"/>
  <c r="C104" i="2"/>
  <c r="C36" i="10"/>
  <c r="F193" i="1"/>
  <c r="G627" i="1" s="1"/>
  <c r="J627" i="1" s="1"/>
  <c r="G672" i="1"/>
  <c r="C5" i="10" s="1"/>
  <c r="L338" i="1"/>
  <c r="L352" i="1" s="1"/>
  <c r="G633" i="1" s="1"/>
  <c r="J633" i="1" s="1"/>
  <c r="E145" i="2"/>
  <c r="C28" i="10"/>
  <c r="D24" i="10" s="1"/>
  <c r="D104" i="2"/>
  <c r="I461" i="1"/>
  <c r="H642" i="1" s="1"/>
  <c r="J642" i="1" s="1"/>
  <c r="D31" i="13"/>
  <c r="C31" i="13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H667" i="1" l="1"/>
  <c r="I660" i="1"/>
  <c r="I664" i="1" s="1"/>
  <c r="I672" i="1" s="1"/>
  <c r="C7" i="10" s="1"/>
  <c r="F667" i="1"/>
  <c r="D10" i="10"/>
  <c r="C30" i="10"/>
  <c r="D16" i="10"/>
  <c r="D18" i="10"/>
  <c r="D23" i="10"/>
  <c r="D26" i="10"/>
  <c r="D27" i="10"/>
  <c r="D17" i="10"/>
  <c r="D15" i="10"/>
  <c r="D25" i="10"/>
  <c r="D20" i="10"/>
  <c r="D13" i="10"/>
  <c r="D11" i="10"/>
  <c r="D12" i="10"/>
  <c r="D19" i="10"/>
  <c r="D21" i="10"/>
  <c r="D22" i="10"/>
  <c r="D33" i="13"/>
  <c r="D36" i="13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<sst xmlns="http://schemas.openxmlformats.org/spreadsheetml/2006/main" count="3958" uniqueCount="916">
  <si>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</si>
  <si>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</si>
  <si>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</si>
  <si>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</si>
  <si>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</si>
  <si>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</si>
  <si>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</si>
  <si>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</si>
  <si>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</si>
  <si>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</si>
  <si>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</si>
  <si>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</si>
  <si>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</si>
  <si>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</si>
  <si>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</si>
  <si>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</si>
  <si>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</si>
  <si>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</si>
  <si>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</si>
  <si>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</si>
  <si>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</si>
  <si>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</si>
  <si>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</si>
  <si>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</si>
  <si>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</si>
  <si>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</si>
  <si>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</si>
  <si>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</si>
  <si>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</si>
  <si>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</si>
  <si>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</si>
  <si>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</si>
  <si>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</si>
  <si>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</si>
  <si>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</si>
  <si>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</si>
  <si>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</si>
  <si>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</si>
  <si>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</si>
  <si>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</si>
  <si>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</si>
  <si>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</si>
  <si>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</si>
  <si>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</si>
  <si>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</si>
  <si>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</si>
  <si>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</si>
  <si>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</si>
  <si>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</si>
  <si>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</si>
  <si>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</si>
  <si>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</si>
  <si>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</si>
  <si>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</si>
  <si>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</si>
  <si>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</si>
  <si>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</si>
  <si>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</si>
  <si>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</si>
  <si>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</si>
  <si>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</si>
  <si>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</si>
  <si>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</si>
  <si>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</si>
  <si>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</si>
  <si>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</si>
  <si>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</si>
  <si>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</si>
  <si>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</si>
  <si>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</si>
  <si>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</si>
  <si>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</si>
  <si>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</si>
  <si>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</si>
  <si>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</si>
  <si>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</si>
  <si>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</si>
  <si>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</si>
  <si>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</si>
  <si>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</si>
  <si>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</si>
  <si>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</si>
  <si>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</si>
  <si>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</si>
  <si>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</si>
  <si>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</si>
  <si>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</si>
  <si>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</si>
  <si>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</si>
  <si>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</si>
  <si>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</si>
  <si>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</si>
  <si>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</si>
  <si>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</si>
  <si>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</si>
  <si>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</si>
  <si>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</si>
  <si>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</si>
  <si>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</si>
  <si>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</si>
  <si>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</si>
  <si>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</si>
  <si>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</si>
  <si>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</si>
  <si>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</si>
  <si>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</si>
  <si>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</si>
  <si>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</si>
  <si>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</si>
  <si>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</si>
  <si>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</si>
  <si>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</si>
  <si>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</si>
  <si>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</si>
  <si>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</si>
  <si>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</si>
  <si>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</si>
  <si>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</si>
  <si>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</si>
  <si>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</si>
  <si>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</si>
  <si>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</si>
  <si>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</si>
  <si>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</si>
  <si>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</si>
  <si>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</si>
  <si>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</si>
  <si>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</si>
  <si>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</si>
  <si>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</si>
  <si>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</si>
  <si>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</si>
  <si>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</si>
  <si>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</si>
  <si>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</si>
  <si>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</si>
  <si>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</si>
  <si>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</si>
  <si>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</si>
  <si>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</si>
  <si>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</si>
  <si>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</si>
  <si>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</si>
  <si>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</si>
  <si>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</si>
  <si>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</si>
  <si>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</si>
  <si>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</si>
  <si>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</si>
  <si>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</si>
  <si>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</si>
  <si>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</si>
  <si>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</si>
  <si>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</si>
  <si>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</si>
  <si>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</si>
  <si>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</si>
  <si>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</si>
  <si>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</si>
  <si>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</si>
  <si>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</si>
  <si>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</si>
  <si>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</si>
  <si>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</si>
  <si>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</si>
  <si>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</si>
  <si>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</si>
  <si>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</si>
  <si>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</si>
  <si>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</si>
  <si>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</si>
  <si>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</si>
  <si>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</si>
  <si>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</si>
  <si>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</si>
  <si>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</si>
  <si>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</si>
  <si>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</si>
  <si>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</si>
  <si>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</si>
  <si>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</si>
  <si>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</si>
  <si>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</si>
  <si>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</si>
  <si>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</si>
  <si>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</si>
  <si>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</si>
  <si>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</si>
  <si>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</si>
  <si>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</si>
  <si>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</si>
  <si>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</si>
  <si>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</si>
  <si>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</si>
  <si>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</si>
  <si>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</si>
  <si>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</si>
  <si>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</si>
  <si>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</si>
  <si>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</si>
  <si>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</si>
  <si>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</si>
  <si>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</si>
  <si>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</si>
  <si>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</si>
  <si>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</si>
  <si>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</si>
  <si>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</si>
  <si>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</si>
  <si>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</si>
  <si>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</si>
  <si>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</si>
  <si>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</si>
  <si>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</si>
  <si>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</si>
  <si>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</si>
  <si>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</si>
  <si>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</si>
  <si>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</si>
  <si>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</si>
  <si>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</si>
  <si>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</si>
  <si>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</si>
  <si>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</si>
  <si>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</si>
  <si>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</si>
  <si>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</si>
  <si>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</si>
  <si>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</si>
  <si>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</si>
  <si>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</si>
  <si>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</si>
  <si>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</si>
  <si>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</si>
  <si>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</si>
  <si>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</si>
  <si>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</si>
  <si>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</si>
  <si>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</si>
  <si>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</si>
  <si>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</si>
  <si>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</si>
  <si>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</si>
  <si>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</si>
  <si>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</si>
  <si>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</si>
  <si>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</si>
  <si>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</si>
  <si>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</si>
  <si>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</si>
  <si>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</si>
  <si>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</si>
  <si>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</si>
  <si>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</si>
  <si>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</si>
  <si>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</si>
  <si>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</si>
  <si>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</si>
  <si>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</si>
  <si>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</si>
  <si>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</si>
  <si>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</si>
  <si>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</si>
  <si>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</si>
  <si>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</si>
  <si>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</si>
  <si>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</si>
  <si>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</si>
  <si>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</si>
  <si>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</si>
  <si>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</si>
  <si>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</si>
  <si>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</si>
  <si>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</si>
  <si>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</si>
  <si>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</si>
  <si>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</si>
  <si>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</si>
  <si>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</si>
  <si>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</si>
  <si>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</si>
  <si>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</si>
  <si>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</si>
  <si>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</si>
  <si>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</si>
  <si>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</si>
  <si>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</si>
  <si>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</si>
  <si>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</si>
  <si>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</si>
  <si>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</si>
  <si>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</si>
  <si>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</si>
  <si>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</si>
  <si>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</si>
  <si>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</si>
  <si>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</si>
  <si>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</si>
  <si>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</si>
  <si>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</si>
  <si>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</si>
  <si>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</si>
  <si>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</si>
  <si>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</si>
  <si>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</si>
  <si>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</si>
  <si>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</si>
  <si>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</si>
  <si>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</si>
  <si>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</si>
  <si>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</si>
  <si>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</si>
  <si>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</si>
  <si>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</si>
  <si>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</si>
  <si>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</si>
  <si>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</si>
  <si>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</si>
  <si>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</si>
  <si>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</si>
  <si>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</si>
  <si>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</si>
  <si>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</si>
  <si>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</si>
  <si>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</si>
  <si>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</si>
  <si>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</si>
  <si>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</si>
  <si>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</si>
  <si>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</si>
  <si>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</si>
  <si>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</si>
  <si>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</si>
  <si>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</si>
  <si>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</si>
  <si>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</si>
  <si>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</si>
  <si>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</si>
  <si>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</si>
  <si>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</si>
  <si>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</si>
  <si>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</si>
  <si>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</si>
  <si>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</si>
  <si>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</si>
  <si>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</si>
  <si>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</si>
  <si>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</si>
  <si>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</si>
  <si>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</si>
  <si>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</si>
  <si>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</si>
  <si>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</si>
  <si>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</si>
  <si>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</si>
  <si>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</si>
  <si>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</si>
  <si>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</si>
  <si>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</si>
  <si>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</si>
  <si>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</si>
  <si>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</si>
  <si>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</si>
  <si>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</si>
  <si>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</si>
  <si>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</si>
  <si>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</si>
  <si>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</si>
  <si>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</si>
  <si>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</si>
  <si>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</si>
  <si>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</si>
  <si>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</si>
  <si>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</si>
  <si>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</si>
  <si>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</si>
  <si>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</si>
  <si>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</si>
  <si>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</si>
  <si>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</si>
  <si>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</si>
  <si>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</si>
  <si>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</si>
  <si>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</si>
  <si>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</si>
  <si>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</si>
  <si>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</si>
  <si>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</si>
  <si>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</si>
  <si>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</si>
  <si>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</si>
  <si>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</si>
  <si>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</si>
  <si>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</si>
  <si>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</si>
  <si>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</si>
  <si>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</si>
  <si>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</si>
  <si>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</si>
  <si>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</si>
  <si>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</si>
  <si>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</si>
  <si>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</si>
  <si>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</si>
  <si>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</si>
  <si>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</si>
  <si>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</si>
  <si>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</si>
  <si>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</si>
  <si>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</si>
  <si>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</si>
  <si>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</si>
  <si>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</si>
  <si>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</si>
  <si>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</si>
  <si>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</si>
  <si>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</si>
  <si>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</si>
  <si>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</si>
  <si>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</si>
  <si>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</si>
  <si>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</si>
  <si>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</si>
  <si>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</si>
  <si>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</si>
  <si>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</si>
  <si>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</si>
  <si>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</si>
  <si>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</si>
  <si>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</si>
  <si>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</si>
  <si>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</si>
  <si>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</si>
  <si>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</si>
  <si>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</si>
  <si>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</si>
  <si>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</si>
  <si>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</si>
  <si>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</si>
  <si>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</si>
  <si>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</si>
  <si>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</si>
  <si>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</si>
  <si>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</si>
  <si>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</si>
  <si>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</si>
  <si>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</si>
  <si>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</si>
  <si>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</si>
  <si>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</si>
  <si>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</si>
  <si>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</si>
  <si>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</si>
  <si>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</si>
  <si>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</si>
  <si>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</si>
  <si>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</si>
  <si>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</si>
  <si>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</si>
  <si>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</si>
  <si>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</si>
  <si>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</si>
  <si>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</si>
  <si>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</si>
  <si>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</si>
  <si>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</si>
  <si>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</si>
  <si>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</si>
  <si>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</si>
  <si>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</si>
  <si>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</si>
  <si>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</si>
  <si>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</si>
  <si>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</si>
  <si>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</si>
  <si>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</si>
  <si>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</si>
  <si>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</si>
  <si>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</si>
  <si>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</si>
  <si>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</si>
  <si>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</si>
  <si>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</si>
  <si>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</si>
  <si>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</si>
  <si>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</si>
  <si>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</si>
  <si>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</si>
  <si>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</si>
  <si>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</si>
  <si>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</si>
  <si>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</si>
  <si>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</si>
  <si>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</si>
  <si>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</si>
  <si>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</si>
  <si>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</si>
  <si>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</si>
  <si>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</si>
  <si>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</si>
  <si>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</si>
  <si>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</si>
  <si>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</si>
  <si>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</si>
  <si>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</si>
  <si>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</si>
  <si>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</si>
  <si>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</si>
  <si>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</si>
  <si>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</si>
  <si>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</si>
  <si>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</si>
  <si>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</si>
  <si>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</si>
  <si>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</si>
  <si>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</si>
  <si>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</si>
  <si>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</si>
  <si>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</si>
  <si>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</si>
  <si>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</si>
  <si>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</si>
  <si>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</si>
  <si>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</si>
  <si>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</si>
  <si>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</si>
  <si>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</si>
  <si>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</si>
  <si>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</si>
  <si>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</si>
  <si>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</si>
  <si>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</si>
  <si>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</si>
  <si>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</si>
  <si>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</si>
  <si>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</si>
  <si>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</si>
  <si>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</si>
  <si>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</si>
  <si>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</si>
  <si>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</si>
  <si>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</si>
  <si>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</si>
  <si>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</si>
  <si>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</si>
  <si>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</si>
  <si>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</si>
  <si>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</si>
  <si>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</si>
  <si>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</si>
  <si>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</si>
  <si>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</si>
  <si>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</si>
  <si>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</si>
  <si>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</si>
  <si>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</si>
  <si>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</si>
  <si>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</si>
  <si>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</si>
  <si>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</si>
  <si>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</si>
  <si>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</si>
  <si>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</si>
  <si>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</si>
  <si>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</si>
  <si>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</si>
  <si>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</si>
  <si>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</si>
  <si>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</si>
  <si>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</si>
  <si>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</si>
  <si>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</si>
  <si>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</si>
  <si>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</si>
  <si>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</si>
  <si>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</si>
  <si>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</si>
  <si>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</si>
  <si>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</si>
  <si>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</si>
  <si>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</si>
  <si>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</si>
  <si>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</si>
  <si>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</si>
  <si>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</si>
  <si>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</si>
  <si>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</si>
  <si>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</si>
  <si>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</si>
  <si>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</si>
  <si>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</si>
  <si>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</si>
  <si>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</si>
  <si>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</si>
  <si>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</si>
  <si>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</si>
  <si>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</si>
  <si>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</si>
  <si>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</si>
  <si>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</si>
  <si>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</si>
  <si>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</si>
  <si>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</si>
  <si>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</si>
  <si>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</si>
  <si>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</si>
  <si>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</si>
  <si>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</si>
  <si>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</si>
  <si>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</si>
  <si>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</si>
  <si>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</si>
  <si>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</si>
  <si>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</si>
  <si>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</si>
  <si>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</si>
  <si>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</si>
  <si>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</si>
  <si>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</si>
  <si>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</si>
  <si>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</si>
  <si>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</si>
  <si>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</si>
  <si>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</si>
  <si>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</si>
  <si>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</si>
  <si>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</si>
  <si>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</si>
  <si>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</si>
  <si>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</si>
  <si>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</si>
  <si>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</si>
  <si>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</si>
  <si>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</si>
  <si>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</si>
  <si>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</si>
  <si>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</si>
  <si>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</si>
  <si>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</si>
  <si>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</si>
  <si>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</si>
  <si>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</si>
  <si>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</si>
  <si>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</si>
  <si>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</si>
  <si>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</si>
  <si>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</si>
  <si>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</si>
  <si>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</si>
  <si>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</si>
  <si>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</si>
  <si>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</si>
  <si>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</si>
  <si>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</si>
  <si>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</si>
  <si>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</si>
  <si>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</si>
  <si>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</si>
  <si>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</si>
  <si>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</si>
  <si>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</si>
  <si>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</si>
  <si>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</si>
  <si>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</si>
  <si>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</si>
  <si>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</si>
  <si>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</si>
  <si>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</si>
  <si>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</si>
  <si>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</si>
  <si>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</si>
  <si>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</si>
  <si>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</si>
  <si>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</si>
  <si>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</si>
  <si>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</si>
  <si>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</si>
  <si>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</si>
  <si>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</si>
  <si>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</si>
  <si>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</si>
  <si>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</si>
  <si>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</si>
  <si>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</si>
  <si>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</si>
  <si>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</si>
  <si>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</si>
  <si>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</si>
  <si>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</si>
  <si>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</si>
  <si>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</si>
  <si>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</si>
  <si>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</si>
  <si>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</si>
  <si>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</si>
  <si>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</si>
  <si>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</si>
  <si>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</si>
  <si>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</si>
  <si>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</si>
  <si>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</si>
  <si>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</si>
  <si>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</si>
  <si>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</si>
  <si>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</si>
  <si>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</si>
  <si>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</si>
  <si>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</si>
  <si>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</si>
  <si>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</si>
  <si>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</si>
  <si>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</si>
  <si>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</si>
  <si>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</si>
  <si>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</si>
  <si>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</si>
  <si>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</si>
  <si>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</si>
  <si>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</si>
  <si>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</si>
  <si>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</si>
  <si>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</si>
  <si>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</si>
  <si>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</si>
  <si>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</si>
  <si>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</si>
  <si>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</si>
  <si>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</si>
  <si>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</si>
  <si>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</si>
  <si>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</si>
  <si>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</si>
  <si>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</si>
  <si>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</si>
  <si>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</si>
  <si>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</si>
  <si>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</si>
  <si>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</si>
  <si>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</si>
  <si>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</si>
  <si>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</si>
  <si>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</si>
  <si>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</si>
  <si>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</si>
  <si>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</si>
  <si>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</si>
  <si>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</si>
  <si>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</si>
  <si>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</si>
  <si>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</si>
  <si>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</si>
  <si>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</si>
  <si>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</si>
  <si>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</si>
  <si>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</si>
  <si>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</si>
  <si>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</si>
  <si>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</si>
  <si>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</si>
  <si>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</si>
  <si>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</si>
  <si>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</si>
  <si>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</si>
  <si>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</si>
  <si>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</si>
  <si>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</si>
  <si>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</si>
  <si>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</si>
  <si>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</si>
  <si>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</si>
  <si>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</si>
  <si>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</si>
  <si>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</si>
  <si>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</si>
  <si>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</si>
  <si>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</si>
  <si>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</si>
  <si>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</si>
  <si>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</si>
  <si>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</si>
  <si>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</si>
  <si>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</si>
  <si>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</si>
  <si>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</si>
  <si>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</si>
  <si>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</si>
  <si>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</si>
  <si>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</si>
  <si>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</si>
  <si>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</si>
  <si>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</si>
  <si>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</si>
  <si>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</si>
  <si>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</si>
  <si>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</si>
  <si>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</si>
  <si>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</si>
  <si>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</si>
  <si>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</si>
  <si>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</si>
  <si>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</si>
  <si>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</si>
  <si>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</si>
  <si>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</si>
  <si>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</si>
  <si>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</si>
  <si>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</si>
  <si>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</si>
  <si>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</si>
  <si>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</si>
  <si>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</si>
  <si>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</si>
  <si>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</si>
  <si>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</si>
  <si>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</si>
  <si>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</si>
  <si>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</si>
  <si>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</si>
  <si>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</si>
  <si>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</si>
  <si>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</si>
  <si>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</si>
  <si>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</si>
  <si>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</si>
  <si>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</si>
  <si>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</si>
  <si>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</si>
  <si>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</si>
  <si>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</si>
  <si>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</si>
  <si>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</si>
  <si>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</si>
  <si>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</si>
  <si>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</si>
  <si>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</si>
  <si>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</si>
  <si>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</si>
  <si>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</si>
  <si>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</si>
  <si>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</si>
  <si>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</si>
  <si>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</si>
  <si>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</si>
  <si>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</si>
  <si>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</si>
  <si>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</si>
  <si>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</si>
  <si>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</si>
  <si>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</si>
  <si>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</si>
  <si>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</si>
  <si>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</si>
  <si>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</si>
  <si>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</si>
  <si>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</si>
  <si>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</si>
  <si>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</si>
  <si>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</si>
  <si>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</si>
  <si>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</si>
  <si>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</si>
  <si>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</si>
  <si>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</si>
  <si>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</si>
  <si>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</si>
  <si>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</si>
  <si>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</si>
  <si>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</si>
  <si>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</si>
  <si>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</si>
  <si>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</si>
  <si>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</si>
  <si>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</si>
  <si>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</si>
  <si>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</si>
  <si>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</si>
  <si>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</si>
  <si>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</si>
  <si>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</si>
  <si>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</si>
  <si>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</si>
  <si>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</si>
  <si>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</si>
  <si>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</si>
  <si>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</si>
  <si>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</si>
  <si>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</si>
  <si>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</si>
  <si>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</si>
  <si>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</si>
  <si>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</si>
  <si>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</si>
  <si>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</si>
  <si>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</si>
  <si>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</si>
  <si>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</si>
  <si>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</si>
  <si>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</si>
  <si>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</si>
  <si>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</si>
  <si>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</si>
  <si>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</si>
  <si>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</si>
  <si>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</si>
  <si>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</si>
  <si>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</si>
  <si>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</si>
  <si>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</si>
  <si>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</si>
  <si>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</si>
  <si>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</si>
  <si>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</si>
  <si>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01/12</t>
  </si>
  <si>
    <t>07/18</t>
  </si>
  <si>
    <t>Chester School District SAU 82</t>
  </si>
  <si>
    <t>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</si>
</sst>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93</v>
      </c>
      <c r="C2" s="21">
        <v>93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806983.71+639.55</f>
        <v>807623.26</v>
      </c>
      <c r="G9" s="18">
        <v>14811.07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f>33872.77+6174.49</f>
        <v>40047.259999999995</v>
      </c>
      <c r="G12" s="18">
        <v>3983.58</v>
      </c>
      <c r="H12" s="18"/>
      <c r="I12" s="18"/>
      <c r="J12" s="67">
        <f>SUM(I441)</f>
        <v>279027.17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56128.36</v>
      </c>
      <c r="G13" s="18">
        <v>2340.04</v>
      </c>
      <c r="H13" s="18">
        <v>33872.769999999997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16823.939999999999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2467.5500000000002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120</v>
      </c>
      <c r="G17" s="18">
        <v>450</v>
      </c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920742.82</v>
      </c>
      <c r="G19" s="41">
        <f>SUM(G9:G18)</f>
        <v>24052.240000000002</v>
      </c>
      <c r="H19" s="41">
        <f>SUM(H9:H18)</f>
        <v>33872.769999999997</v>
      </c>
      <c r="I19" s="41">
        <f>SUM(I9:I18)</f>
        <v>0</v>
      </c>
      <c r="J19" s="41">
        <f>SUM(J9:J18)</f>
        <v>279027.17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3983.58</v>
      </c>
      <c r="G22" s="18"/>
      <c r="H22" s="18">
        <v>33872.769999999997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126288.17+8449.65</f>
        <v>134737.82</v>
      </c>
      <c r="G24" s="18">
        <v>1528.68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13623.53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1222.87+999.46+6511.37</f>
        <v>8733.7000000000007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7910</v>
      </c>
      <c r="G30" s="18">
        <v>5392.72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168988.63</v>
      </c>
      <c r="G32" s="41">
        <f>SUM(G22:G31)</f>
        <v>6921.4000000000005</v>
      </c>
      <c r="H32" s="41">
        <f>SUM(H22:H31)</f>
        <v>33872.769999999997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2467.5500000000002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120</v>
      </c>
      <c r="G36" s="18">
        <v>450</v>
      </c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6174.49</v>
      </c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f>31951.36+178068.53-195806.6</f>
        <v>14213.290000000008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25000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218644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639.54999999999995</v>
      </c>
      <c r="G48" s="18"/>
      <c r="H48" s="18"/>
      <c r="I48" s="18"/>
      <c r="J48" s="13">
        <f>SUM(I459)</f>
        <v>279027.17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526176.15-25000</f>
        <v>501176.15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751754.19</v>
      </c>
      <c r="G51" s="41">
        <f>SUM(G35:G50)</f>
        <v>17130.840000000007</v>
      </c>
      <c r="H51" s="41">
        <f>SUM(H35:H50)</f>
        <v>0</v>
      </c>
      <c r="I51" s="41">
        <f>SUM(I35:I50)</f>
        <v>0</v>
      </c>
      <c r="J51" s="41">
        <f>SUM(J35:J50)</f>
        <v>279027.17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920742.82</v>
      </c>
      <c r="G52" s="41">
        <f>G51+G32</f>
        <v>24052.240000000009</v>
      </c>
      <c r="H52" s="41">
        <f>H51+H32</f>
        <v>33872.769999999997</v>
      </c>
      <c r="I52" s="41">
        <f>I51+I32</f>
        <v>0</v>
      </c>
      <c r="J52" s="41">
        <f>J51+J32</f>
        <v>279027.17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7592677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7592677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21395.54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21395.54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13.69</v>
      </c>
      <c r="G96" s="18">
        <v>12.17</v>
      </c>
      <c r="H96" s="18"/>
      <c r="I96" s="18"/>
      <c r="J96" s="18">
        <v>6918.67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134906.41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45058.66+13376.37+245.73</f>
        <v>58680.760000000009</v>
      </c>
      <c r="G110" s="18">
        <v>553.55999999999995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58694.450000000012</v>
      </c>
      <c r="G111" s="41">
        <f>SUM(G96:G110)</f>
        <v>135472.14000000001</v>
      </c>
      <c r="H111" s="41">
        <f>SUM(H96:H110)</f>
        <v>0</v>
      </c>
      <c r="I111" s="41">
        <f>SUM(I96:I110)</f>
        <v>0</v>
      </c>
      <c r="J111" s="41">
        <f>SUM(J96:J110)</f>
        <v>6918.67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7672766.9900000002</v>
      </c>
      <c r="G112" s="41">
        <f>G60+G111</f>
        <v>135472.14000000001</v>
      </c>
      <c r="H112" s="41">
        <f>H60+H79+H94+H111</f>
        <v>0</v>
      </c>
      <c r="I112" s="41">
        <f>I60+I111</f>
        <v>0</v>
      </c>
      <c r="J112" s="41">
        <f>J60+J111</f>
        <v>6918.67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2692119.18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1153089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2069.13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3847277.31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90000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96346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2460.46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186346</v>
      </c>
      <c r="G136" s="41">
        <f>SUM(G123:G135)</f>
        <v>2460.46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4033623.31</v>
      </c>
      <c r="G140" s="41">
        <f>G121+SUM(G136:G137)</f>
        <v>2460.46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f>33005.03+3577.71</f>
        <v>36582.74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27654.49</f>
        <v>27654.49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23295+92103.41+13182.7+4000+37221.57+18000-164507.68</f>
        <v>23295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30323+9812.93</f>
        <v>40135.93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18000+37221.57+4000+13182.7+92103.41</f>
        <v>164507.68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116328.93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2885.66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116328.93</v>
      </c>
      <c r="G162" s="41">
        <f>SUM(G150:G161)</f>
        <v>40135.93</v>
      </c>
      <c r="H162" s="41">
        <f>SUM(H150:H161)</f>
        <v>254925.56999999998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116328.93</v>
      </c>
      <c r="G169" s="41">
        <f>G147+G162+SUM(G163:G168)</f>
        <v>40135.93</v>
      </c>
      <c r="H169" s="41">
        <f>H147+H162+SUM(H163:H168)</f>
        <v>254925.56999999998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6174.49</v>
      </c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6174.49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6174.49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11828893.720000001</v>
      </c>
      <c r="G193" s="47">
        <f>G112+G140+G169+G192</f>
        <v>178068.53</v>
      </c>
      <c r="H193" s="47">
        <f>H112+H140+H169+H192</f>
        <v>254925.56999999998</v>
      </c>
      <c r="I193" s="47">
        <f>I112+I140+I169+I192</f>
        <v>0</v>
      </c>
      <c r="J193" s="47">
        <f>J112+J140+J192</f>
        <v>6918.67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1894694.2</v>
      </c>
      <c r="G197" s="18">
        <v>904118.58000000007</v>
      </c>
      <c r="H197" s="18">
        <v>811.95</v>
      </c>
      <c r="I197" s="18">
        <v>106516.81999999999</v>
      </c>
      <c r="J197" s="18">
        <v>9555.0499999999993</v>
      </c>
      <c r="K197" s="18"/>
      <c r="L197" s="19">
        <f>SUM(F197:K197)</f>
        <v>2915696.6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619595.6399999999</v>
      </c>
      <c r="G198" s="18">
        <v>221849.75000000003</v>
      </c>
      <c r="H198" s="18">
        <v>41119.26</v>
      </c>
      <c r="I198" s="18">
        <v>2833.87</v>
      </c>
      <c r="J198" s="18"/>
      <c r="K198" s="18"/>
      <c r="L198" s="19">
        <f>SUM(F198:K198)</f>
        <v>885398.5199999999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59793.08</v>
      </c>
      <c r="G200" s="18">
        <v>12408.980000000001</v>
      </c>
      <c r="H200" s="18">
        <v>5266</v>
      </c>
      <c r="I200" s="18">
        <v>2206.9699999999998</v>
      </c>
      <c r="J200" s="18">
        <v>3717.83</v>
      </c>
      <c r="K200" s="18"/>
      <c r="L200" s="19">
        <f>SUM(F200:K200)</f>
        <v>83392.86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310364.52</v>
      </c>
      <c r="G202" s="18">
        <v>138877.96000000002</v>
      </c>
      <c r="H202" s="18">
        <v>19581.650000000001</v>
      </c>
      <c r="I202" s="18">
        <v>17625.810000000001</v>
      </c>
      <c r="J202" s="18">
        <v>308.85000000000002</v>
      </c>
      <c r="K202" s="18"/>
      <c r="L202" s="19">
        <f t="shared" ref="L202:L208" si="0">SUM(F202:K202)</f>
        <v>486758.79000000004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161158.76999999999</v>
      </c>
      <c r="G203" s="18">
        <v>58739.290000000008</v>
      </c>
      <c r="H203" s="18">
        <v>55213.64</v>
      </c>
      <c r="I203" s="18">
        <v>16501.32</v>
      </c>
      <c r="J203" s="18">
        <v>129228.55</v>
      </c>
      <c r="K203" s="18"/>
      <c r="L203" s="19">
        <f t="shared" si="0"/>
        <v>420841.57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307047.5</v>
      </c>
      <c r="G204" s="18">
        <v>105786</v>
      </c>
      <c r="H204" s="18">
        <v>22642.329999999998</v>
      </c>
      <c r="I204" s="18">
        <v>14594.39</v>
      </c>
      <c r="J204" s="18">
        <v>1995</v>
      </c>
      <c r="K204" s="18">
        <v>16344.46</v>
      </c>
      <c r="L204" s="19">
        <f t="shared" si="0"/>
        <v>468409.68000000005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248421.8</v>
      </c>
      <c r="G205" s="18">
        <v>96342.28</v>
      </c>
      <c r="H205" s="18">
        <v>14939.31</v>
      </c>
      <c r="I205" s="18">
        <v>25385.100000000002</v>
      </c>
      <c r="J205" s="18">
        <v>7061</v>
      </c>
      <c r="K205" s="18">
        <v>2225.62</v>
      </c>
      <c r="L205" s="19">
        <f t="shared" si="0"/>
        <v>394375.10999999993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165022.41999999998</v>
      </c>
      <c r="G207" s="18">
        <v>46385.26</v>
      </c>
      <c r="H207" s="18">
        <v>150053.29</v>
      </c>
      <c r="I207" s="18">
        <v>154498.53</v>
      </c>
      <c r="J207" s="18">
        <v>977</v>
      </c>
      <c r="K207" s="18"/>
      <c r="L207" s="19">
        <f t="shared" si="0"/>
        <v>516936.5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334446.92999999993</v>
      </c>
      <c r="I208" s="18"/>
      <c r="J208" s="18"/>
      <c r="K208" s="18"/>
      <c r="L208" s="19">
        <f t="shared" si="0"/>
        <v>334446.92999999993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3766097.9299999997</v>
      </c>
      <c r="G211" s="41">
        <f t="shared" si="1"/>
        <v>1584508.1</v>
      </c>
      <c r="H211" s="41">
        <f t="shared" si="1"/>
        <v>644074.35999999987</v>
      </c>
      <c r="I211" s="41">
        <f t="shared" si="1"/>
        <v>340162.81</v>
      </c>
      <c r="J211" s="41">
        <f t="shared" si="1"/>
        <v>152843.28</v>
      </c>
      <c r="K211" s="41">
        <f t="shared" si="1"/>
        <v>18570.079999999998</v>
      </c>
      <c r="L211" s="41">
        <f t="shared" si="1"/>
        <v>6506256.5599999996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3674304.54</v>
      </c>
      <c r="I233" s="18"/>
      <c r="J233" s="18"/>
      <c r="K233" s="18"/>
      <c r="L233" s="19">
        <f>SUM(F233:K233)</f>
        <v>3674304.54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831329.02</v>
      </c>
      <c r="I234" s="18"/>
      <c r="J234" s="18"/>
      <c r="K234" s="18"/>
      <c r="L234" s="19">
        <f>SUM(F234:K234)</f>
        <v>831329.02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940.61</v>
      </c>
      <c r="G238" s="18">
        <f>71.96+147.39</f>
        <v>219.34999999999997</v>
      </c>
      <c r="H238" s="18">
        <f>4145.75+2877.76+5028.1</f>
        <v>12051.61</v>
      </c>
      <c r="I238" s="18"/>
      <c r="J238" s="18"/>
      <c r="K238" s="18"/>
      <c r="L238" s="19">
        <f t="shared" ref="L238:L244" si="4">SUM(F238:K238)</f>
        <v>13211.57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16775.2</v>
      </c>
      <c r="G240" s="18">
        <v>8775.0400000000009</v>
      </c>
      <c r="H240" s="18">
        <v>527.12</v>
      </c>
      <c r="I240" s="18"/>
      <c r="J240" s="18"/>
      <c r="K240" s="18"/>
      <c r="L240" s="19">
        <f t="shared" si="4"/>
        <v>26077.360000000001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156274.17+39312+28983</f>
        <v>224569.17</v>
      </c>
      <c r="I244" s="18"/>
      <c r="J244" s="18"/>
      <c r="K244" s="18"/>
      <c r="L244" s="19">
        <f t="shared" si="4"/>
        <v>224569.17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17715.810000000001</v>
      </c>
      <c r="G247" s="41">
        <f t="shared" si="5"/>
        <v>8994.3900000000012</v>
      </c>
      <c r="H247" s="41">
        <f t="shared" si="5"/>
        <v>4742781.4600000009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4769491.6600000011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3783813.7399999998</v>
      </c>
      <c r="G257" s="41">
        <f t="shared" si="8"/>
        <v>1593502.49</v>
      </c>
      <c r="H257" s="41">
        <f t="shared" si="8"/>
        <v>5386855.8200000003</v>
      </c>
      <c r="I257" s="41">
        <f t="shared" si="8"/>
        <v>340162.81</v>
      </c>
      <c r="J257" s="41">
        <f t="shared" si="8"/>
        <v>152843.28</v>
      </c>
      <c r="K257" s="41">
        <f t="shared" si="8"/>
        <v>18570.079999999998</v>
      </c>
      <c r="L257" s="41">
        <f t="shared" si="8"/>
        <v>11275748.220000001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290000</v>
      </c>
      <c r="L260" s="19">
        <f>SUM(F260:K260)</f>
        <v>290000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20700</v>
      </c>
      <c r="L261" s="19">
        <f>SUM(F261:K261)</f>
        <v>20700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310700</v>
      </c>
      <c r="L270" s="41">
        <f t="shared" si="9"/>
        <v>310700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3783813.7399999998</v>
      </c>
      <c r="G271" s="42">
        <f t="shared" si="11"/>
        <v>1593502.49</v>
      </c>
      <c r="H271" s="42">
        <f t="shared" si="11"/>
        <v>5386855.8200000003</v>
      </c>
      <c r="I271" s="42">
        <f t="shared" si="11"/>
        <v>340162.81</v>
      </c>
      <c r="J271" s="42">
        <f t="shared" si="11"/>
        <v>152843.28</v>
      </c>
      <c r="K271" s="42">
        <f t="shared" si="11"/>
        <v>329270.08</v>
      </c>
      <c r="L271" s="42">
        <f t="shared" si="11"/>
        <v>11586448.220000001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19498+491.59+7215+3139.1+3000+18365</f>
        <v>51708.69</v>
      </c>
      <c r="G276" s="18">
        <f>146.83+229.5</f>
        <v>376.33000000000004</v>
      </c>
      <c r="H276" s="18">
        <f>4930+2505</f>
        <v>7435</v>
      </c>
      <c r="I276" s="18">
        <f>399.9+23698.71+201.38</f>
        <v>24299.99</v>
      </c>
      <c r="J276" s="18">
        <f>3379.22</f>
        <v>3379.22</v>
      </c>
      <c r="K276" s="18">
        <v>50</v>
      </c>
      <c r="L276" s="19">
        <f>SUM(F276:K276)</f>
        <v>87249.23000000001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4848.2+10705.5+40000+3855</f>
        <v>59408.7</v>
      </c>
      <c r="G277" s="18"/>
      <c r="H277" s="18">
        <f>1146.21+29548.5-3285-201.21-139.75</f>
        <v>27068.75</v>
      </c>
      <c r="I277" s="18">
        <f>2000</f>
        <v>2000</v>
      </c>
      <c r="J277" s="18"/>
      <c r="K277" s="18"/>
      <c r="L277" s="19">
        <f>SUM(F277:K277)</f>
        <v>88477.45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27221.57-1361.08</f>
        <v>25860.489999999998</v>
      </c>
      <c r="G281" s="18">
        <v>9500</v>
      </c>
      <c r="H281" s="18">
        <f>13182.7+2000+9000+283-3295.68</f>
        <v>21170.02</v>
      </c>
      <c r="I281" s="18"/>
      <c r="J281" s="18"/>
      <c r="K281" s="18"/>
      <c r="L281" s="19">
        <f t="shared" ref="L281:L287" si="12">SUM(F281:K281)</f>
        <v>56530.509999999995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>
        <v>2885.66</v>
      </c>
      <c r="K286" s="18"/>
      <c r="L286" s="19">
        <f t="shared" si="12"/>
        <v>2885.66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136977.88</v>
      </c>
      <c r="G290" s="42">
        <f t="shared" si="13"/>
        <v>9876.33</v>
      </c>
      <c r="H290" s="42">
        <f t="shared" si="13"/>
        <v>55673.770000000004</v>
      </c>
      <c r="I290" s="42">
        <f t="shared" si="13"/>
        <v>26299.99</v>
      </c>
      <c r="J290" s="42">
        <f t="shared" si="13"/>
        <v>6264.8799999999992</v>
      </c>
      <c r="K290" s="42">
        <f t="shared" si="13"/>
        <v>50</v>
      </c>
      <c r="L290" s="41">
        <f t="shared" si="13"/>
        <v>235142.85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>
        <f>3285+201.21+139.75</f>
        <v>3625.96</v>
      </c>
      <c r="I315" s="18"/>
      <c r="J315" s="18"/>
      <c r="K315" s="18"/>
      <c r="L315" s="19">
        <f>SUM(F315:K315)</f>
        <v>3625.96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1361.08</v>
      </c>
      <c r="G319" s="18">
        <v>500</v>
      </c>
      <c r="H319" s="18">
        <f>3295.68+2000+9000</f>
        <v>14295.68</v>
      </c>
      <c r="I319" s="18"/>
      <c r="J319" s="18"/>
      <c r="K319" s="18"/>
      <c r="L319" s="19">
        <f t="shared" ref="L319:L325" si="16">SUM(F319:K319)</f>
        <v>16156.76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1361.08</v>
      </c>
      <c r="G328" s="42">
        <f t="shared" si="17"/>
        <v>500</v>
      </c>
      <c r="H328" s="42">
        <f t="shared" si="17"/>
        <v>17921.64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19782.72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138338.96</v>
      </c>
      <c r="G338" s="41">
        <f t="shared" si="20"/>
        <v>10376.33</v>
      </c>
      <c r="H338" s="41">
        <f t="shared" si="20"/>
        <v>73595.41</v>
      </c>
      <c r="I338" s="41">
        <f t="shared" si="20"/>
        <v>26299.99</v>
      </c>
      <c r="J338" s="41">
        <f t="shared" si="20"/>
        <v>6264.8799999999992</v>
      </c>
      <c r="K338" s="41">
        <f t="shared" si="20"/>
        <v>50</v>
      </c>
      <c r="L338" s="41">
        <f t="shared" si="20"/>
        <v>254925.57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138338.96</v>
      </c>
      <c r="G352" s="41">
        <f>G338</f>
        <v>10376.33</v>
      </c>
      <c r="H352" s="41">
        <f>H338</f>
        <v>73595.41</v>
      </c>
      <c r="I352" s="41">
        <f>I338</f>
        <v>26299.99</v>
      </c>
      <c r="J352" s="41">
        <f>J338</f>
        <v>6264.8799999999992</v>
      </c>
      <c r="K352" s="47">
        <f>K338+K351</f>
        <v>50</v>
      </c>
      <c r="L352" s="41">
        <f>L338+L351</f>
        <v>254925.57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64846.34</v>
      </c>
      <c r="G358" s="18">
        <f>19686.83+1123.92+52.56+98.04+4403.82+3854.18+372.07+379.23</f>
        <v>29970.65</v>
      </c>
      <c r="H358" s="18">
        <f>1311.11+479.39</f>
        <v>1790.5</v>
      </c>
      <c r="I358" s="18">
        <f>3670.86+1023.27+63874.8+1192.5+9812.93+1106.15</f>
        <v>80680.510000000009</v>
      </c>
      <c r="J358" s="18">
        <v>18068.599999999999</v>
      </c>
      <c r="K358" s="18">
        <v>450</v>
      </c>
      <c r="L358" s="13">
        <f>SUM(F358:K358)</f>
        <v>195806.6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64846.34</v>
      </c>
      <c r="G362" s="47">
        <f t="shared" si="22"/>
        <v>29970.65</v>
      </c>
      <c r="H362" s="47">
        <f t="shared" si="22"/>
        <v>1790.5</v>
      </c>
      <c r="I362" s="47">
        <f t="shared" si="22"/>
        <v>80680.510000000009</v>
      </c>
      <c r="J362" s="47">
        <f t="shared" si="22"/>
        <v>18068.599999999999</v>
      </c>
      <c r="K362" s="47">
        <f t="shared" si="22"/>
        <v>450</v>
      </c>
      <c r="L362" s="47">
        <f t="shared" si="22"/>
        <v>195806.6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63874.8+1192.5+9812.93</f>
        <v>74880.23000000001</v>
      </c>
      <c r="G367" s="18"/>
      <c r="H367" s="18"/>
      <c r="I367" s="56">
        <f>SUM(F367:H367)</f>
        <v>74880.23000000001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3670.86+1023.27+1106.15</f>
        <v>5800.2800000000007</v>
      </c>
      <c r="G368" s="63"/>
      <c r="H368" s="63"/>
      <c r="I368" s="56">
        <f>SUM(F368:H368)</f>
        <v>5800.2800000000007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80680.510000000009</v>
      </c>
      <c r="G369" s="47">
        <f>SUM(G367:G368)</f>
        <v>0</v>
      </c>
      <c r="H369" s="47">
        <f>SUM(H367:H368)</f>
        <v>0</v>
      </c>
      <c r="I369" s="47">
        <f>SUM(I367:I368)</f>
        <v>80680.510000000009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4910.8599999999997</v>
      </c>
      <c r="I396" s="18"/>
      <c r="J396" s="24" t="s">
        <v>288</v>
      </c>
      <c r="K396" s="24" t="s">
        <v>288</v>
      </c>
      <c r="L396" s="56">
        <f t="shared" si="26"/>
        <v>4910.8599999999997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2007.81</v>
      </c>
      <c r="I397" s="18"/>
      <c r="J397" s="24" t="s">
        <v>288</v>
      </c>
      <c r="K397" s="24" t="s">
        <v>288</v>
      </c>
      <c r="L397" s="56">
        <f t="shared" si="26"/>
        <v>2007.81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6918.67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6918.67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6918.67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6918.67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>
        <v>279027.17</v>
      </c>
      <c r="H441" s="18"/>
      <c r="I441" s="56">
        <f t="shared" si="33"/>
        <v>279027.17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279027.17</v>
      </c>
      <c r="H446" s="13">
        <f>SUM(H439:H445)</f>
        <v>0</v>
      </c>
      <c r="I446" s="13">
        <f>SUM(I439:I445)</f>
        <v>279027.17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279027.17</v>
      </c>
      <c r="H459" s="18"/>
      <c r="I459" s="56">
        <f t="shared" si="34"/>
        <v>279027.17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279027.17</v>
      </c>
      <c r="H460" s="83">
        <f>SUM(H454:H459)</f>
        <v>0</v>
      </c>
      <c r="I460" s="83">
        <f>SUM(I454:I459)</f>
        <v>279027.17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279027.17</v>
      </c>
      <c r="H461" s="42">
        <f>H452+H460</f>
        <v>0</v>
      </c>
      <c r="I461" s="42">
        <f>I452+I460</f>
        <v>279027.17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509308.69</v>
      </c>
      <c r="G465" s="18">
        <v>34868.910000000003</v>
      </c>
      <c r="H465" s="18"/>
      <c r="I465" s="18"/>
      <c r="J465" s="18">
        <v>272108.5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11828893.720000001</v>
      </c>
      <c r="G468" s="18">
        <v>178068.53</v>
      </c>
      <c r="H468" s="18">
        <v>254925.57</v>
      </c>
      <c r="I468" s="18"/>
      <c r="J468" s="18">
        <v>6918.67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11828893.720000001</v>
      </c>
      <c r="G470" s="53">
        <f>SUM(G468:G469)</f>
        <v>178068.53</v>
      </c>
      <c r="H470" s="53">
        <f>SUM(H468:H469)</f>
        <v>254925.57</v>
      </c>
      <c r="I470" s="53">
        <f>SUM(I468:I469)</f>
        <v>0</v>
      </c>
      <c r="J470" s="53">
        <f>SUM(J468:J469)</f>
        <v>6918.67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11586448.220000001</v>
      </c>
      <c r="G472" s="18">
        <v>195806.6</v>
      </c>
      <c r="H472" s="18">
        <v>254925.57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11586448.220000001</v>
      </c>
      <c r="G474" s="53">
        <f>SUM(G472:G473)</f>
        <v>195806.6</v>
      </c>
      <c r="H474" s="53">
        <f>SUM(H472:H473)</f>
        <v>254925.57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751754.18999999948</v>
      </c>
      <c r="G476" s="53">
        <f>(G465+G470)- G474</f>
        <v>17130.839999999997</v>
      </c>
      <c r="H476" s="53">
        <f>(H465+H470)- H474</f>
        <v>0</v>
      </c>
      <c r="I476" s="53">
        <f>(I465+I470)- I474</f>
        <v>0</v>
      </c>
      <c r="J476" s="53">
        <f>(J465+J470)- J474</f>
        <v>279027.17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2076000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1.24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835000</v>
      </c>
      <c r="G495" s="18"/>
      <c r="H495" s="18"/>
      <c r="I495" s="18"/>
      <c r="J495" s="18"/>
      <c r="K495" s="53">
        <f>SUM(F495:J495)</f>
        <v>835000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290000</v>
      </c>
      <c r="G497" s="18"/>
      <c r="H497" s="18"/>
      <c r="I497" s="18"/>
      <c r="J497" s="18"/>
      <c r="K497" s="53">
        <f t="shared" si="35"/>
        <v>290000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545000</v>
      </c>
      <c r="G498" s="204"/>
      <c r="H498" s="204"/>
      <c r="I498" s="204"/>
      <c r="J498" s="204"/>
      <c r="K498" s="205">
        <f t="shared" si="35"/>
        <v>545000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15975</v>
      </c>
      <c r="G499" s="18"/>
      <c r="H499" s="18"/>
      <c r="I499" s="18"/>
      <c r="J499" s="18"/>
      <c r="K499" s="53">
        <f t="shared" si="35"/>
        <v>15975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560975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560975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285000</v>
      </c>
      <c r="G501" s="204"/>
      <c r="H501" s="204"/>
      <c r="I501" s="204"/>
      <c r="J501" s="204"/>
      <c r="K501" s="205">
        <f t="shared" si="35"/>
        <v>285000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12075</v>
      </c>
      <c r="G502" s="18"/>
      <c r="H502" s="18"/>
      <c r="I502" s="18"/>
      <c r="J502" s="18"/>
      <c r="K502" s="53">
        <f t="shared" si="35"/>
        <v>12075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297075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297075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0</v>
      </c>
      <c r="G507" s="144">
        <v>22309.16</v>
      </c>
      <c r="H507" s="144"/>
      <c r="I507" s="144">
        <v>22309.16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706208.92999999982</v>
      </c>
      <c r="G521" s="18">
        <v>221849.75000000003</v>
      </c>
      <c r="H521" s="18">
        <v>68188.010000000009</v>
      </c>
      <c r="I521" s="18">
        <v>5233.7700000000004</v>
      </c>
      <c r="J521" s="18"/>
      <c r="K521" s="18">
        <v>50</v>
      </c>
      <c r="L521" s="88">
        <f>SUM(F521:K521)</f>
        <v>1001530.4599999998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834954.98</v>
      </c>
      <c r="I523" s="18"/>
      <c r="J523" s="18"/>
      <c r="K523" s="18"/>
      <c r="L523" s="88">
        <f>SUM(F523:K523)</f>
        <v>834954.98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706208.92999999982</v>
      </c>
      <c r="G524" s="108">
        <f t="shared" ref="G524:L524" si="36">SUM(G521:G523)</f>
        <v>221849.75000000003</v>
      </c>
      <c r="H524" s="108">
        <f t="shared" si="36"/>
        <v>903142.99</v>
      </c>
      <c r="I524" s="108">
        <f t="shared" si="36"/>
        <v>5233.7700000000004</v>
      </c>
      <c r="J524" s="108">
        <f t="shared" si="36"/>
        <v>0</v>
      </c>
      <c r="K524" s="108">
        <f t="shared" si="36"/>
        <v>50</v>
      </c>
      <c r="L524" s="89">
        <f t="shared" si="36"/>
        <v>1836485.44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38793.32+103180+1031.8+17871.6+27221.57-1361.08</f>
        <v>186737.21000000002</v>
      </c>
      <c r="G526" s="18">
        <f>5+384.2+56.43+105.05+2967.67+6078.94+109.97+263.9+2.77+19651.83+1123.9+69+129.6+7491.06+14.96+16168.55+219.94+571.17+5.54+6568.9+936.54+69+129.6+3149.9+34.87+7141.94+109.97+296.2-147.39-71.96+9500</f>
        <v>83137.049999999988</v>
      </c>
      <c r="H526" s="18">
        <f>8633.29+308.75+144.9+379.36+4145.75+5028.1+13182.7-3295.68+2000+9000</f>
        <v>39527.17</v>
      </c>
      <c r="I526" s="18">
        <f>166.74+1593.12+161.22+1238.32+199+310.62+480.5</f>
        <v>4149.5199999999995</v>
      </c>
      <c r="J526" s="18">
        <f>139.98+159.88+8.99</f>
        <v>308.85000000000002</v>
      </c>
      <c r="K526" s="18"/>
      <c r="L526" s="88">
        <f>SUM(F526:K526)</f>
        <v>313859.8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940.61+1361.08</f>
        <v>2301.69</v>
      </c>
      <c r="G528" s="18">
        <f>71.96+147.39+500</f>
        <v>719.34999999999991</v>
      </c>
      <c r="H528" s="18">
        <f>2877.76+4145.75+5028.1+3295.68+2000+9000</f>
        <v>26347.29</v>
      </c>
      <c r="I528" s="18"/>
      <c r="J528" s="18"/>
      <c r="K528" s="18"/>
      <c r="L528" s="88">
        <f>SUM(F528:K528)</f>
        <v>29368.33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189038.90000000002</v>
      </c>
      <c r="G529" s="89">
        <f t="shared" ref="G529:L529" si="37">SUM(G526:G528)</f>
        <v>83856.399999999994</v>
      </c>
      <c r="H529" s="89">
        <f t="shared" si="37"/>
        <v>65874.459999999992</v>
      </c>
      <c r="I529" s="89">
        <f t="shared" si="37"/>
        <v>4149.5199999999995</v>
      </c>
      <c r="J529" s="89">
        <f t="shared" si="37"/>
        <v>308.85000000000002</v>
      </c>
      <c r="K529" s="89">
        <f t="shared" si="37"/>
        <v>0</v>
      </c>
      <c r="L529" s="89">
        <f t="shared" si="37"/>
        <v>343228.13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83876+33494.33-16775.2</f>
        <v>100595.13</v>
      </c>
      <c r="G531" s="18">
        <f>19651.81+1584.94+68.75+226.2+8578.46+3660.32+12908.42+219.94+636.69-8775.04</f>
        <v>38760.490000000005</v>
      </c>
      <c r="H531" s="18">
        <f>-527.12+6741.58+1751.67+451.5+1054.24+470</f>
        <v>9941.8700000000008</v>
      </c>
      <c r="I531" s="18">
        <f>719.15</f>
        <v>719.15</v>
      </c>
      <c r="J531" s="18"/>
      <c r="K531" s="18">
        <v>159.56</v>
      </c>
      <c r="L531" s="88">
        <f>SUM(F531:K531)</f>
        <v>150176.19999999998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16775.2</v>
      </c>
      <c r="G533" s="18">
        <v>8775.0400000000009</v>
      </c>
      <c r="H533" s="18">
        <v>527.12</v>
      </c>
      <c r="I533" s="18"/>
      <c r="J533" s="18"/>
      <c r="K533" s="18"/>
      <c r="L533" s="88">
        <f>SUM(F533:K533)</f>
        <v>26077.360000000001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117370.33</v>
      </c>
      <c r="G534" s="89">
        <f t="shared" ref="G534:L534" si="38">SUM(G531:G533)</f>
        <v>47535.530000000006</v>
      </c>
      <c r="H534" s="89">
        <f t="shared" si="38"/>
        <v>10468.990000000002</v>
      </c>
      <c r="I534" s="89">
        <f t="shared" si="38"/>
        <v>719.15</v>
      </c>
      <c r="J534" s="89">
        <f t="shared" si="38"/>
        <v>0</v>
      </c>
      <c r="K534" s="89">
        <f t="shared" si="38"/>
        <v>159.56</v>
      </c>
      <c r="L534" s="89">
        <f t="shared" si="38"/>
        <v>176253.56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f>145280.3-39312-28983</f>
        <v>76985.299999999988</v>
      </c>
      <c r="I541" s="18"/>
      <c r="J541" s="18"/>
      <c r="K541" s="18"/>
      <c r="L541" s="88">
        <f>SUM(F541:K541)</f>
        <v>76985.299999999988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39312+28983</f>
        <v>68295</v>
      </c>
      <c r="I543" s="18"/>
      <c r="J543" s="18"/>
      <c r="K543" s="18"/>
      <c r="L543" s="88">
        <f>SUM(F543:K543)</f>
        <v>68295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145280.29999999999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145280.29999999999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1012618.1599999998</v>
      </c>
      <c r="G545" s="89">
        <f t="shared" ref="G545:L545" si="41">G524+G529+G534+G539+G544</f>
        <v>353241.68000000005</v>
      </c>
      <c r="H545" s="89">
        <f t="shared" si="41"/>
        <v>1124766.74</v>
      </c>
      <c r="I545" s="89">
        <f t="shared" si="41"/>
        <v>10102.44</v>
      </c>
      <c r="J545" s="89">
        <f t="shared" si="41"/>
        <v>308.85000000000002</v>
      </c>
      <c r="K545" s="89">
        <f t="shared" si="41"/>
        <v>209.56</v>
      </c>
      <c r="L545" s="89">
        <f t="shared" si="41"/>
        <v>2501247.4299999997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1001530.4599999998</v>
      </c>
      <c r="G549" s="87">
        <f>L526</f>
        <v>313859.8</v>
      </c>
      <c r="H549" s="87">
        <f>L531</f>
        <v>150176.19999999998</v>
      </c>
      <c r="I549" s="87">
        <f>L536</f>
        <v>0</v>
      </c>
      <c r="J549" s="87">
        <f>L541</f>
        <v>76985.299999999988</v>
      </c>
      <c r="K549" s="87">
        <f>SUM(F549:J549)</f>
        <v>1542551.7599999998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834954.98</v>
      </c>
      <c r="G551" s="87">
        <f>L528</f>
        <v>29368.33</v>
      </c>
      <c r="H551" s="87">
        <f>L533</f>
        <v>26077.360000000001</v>
      </c>
      <c r="I551" s="87">
        <f>L538</f>
        <v>0</v>
      </c>
      <c r="J551" s="87">
        <f>L543</f>
        <v>68295</v>
      </c>
      <c r="K551" s="87">
        <f>SUM(F551:J551)</f>
        <v>958695.66999999993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1836485.44</v>
      </c>
      <c r="G552" s="89">
        <f t="shared" si="42"/>
        <v>343228.13</v>
      </c>
      <c r="H552" s="89">
        <f t="shared" si="42"/>
        <v>176253.56</v>
      </c>
      <c r="I552" s="89">
        <f t="shared" si="42"/>
        <v>0</v>
      </c>
      <c r="J552" s="89">
        <f t="shared" si="42"/>
        <v>145280.29999999999</v>
      </c>
      <c r="K552" s="89">
        <f t="shared" si="42"/>
        <v>2501247.4299999997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3674304.54</v>
      </c>
      <c r="I577" s="87">
        <f t="shared" si="47"/>
        <v>3674304.54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440249.85</v>
      </c>
      <c r="I581" s="87">
        <f t="shared" si="47"/>
        <v>440249.85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>
        <v>238757.79</v>
      </c>
      <c r="I582" s="87">
        <f t="shared" si="47"/>
        <v>238757.79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244428.83</v>
      </c>
      <c r="I591" s="18"/>
      <c r="J591" s="18">
        <v>156274.17000000001</v>
      </c>
      <c r="K591" s="104">
        <f t="shared" ref="K591:K597" si="48">SUM(H591:J591)</f>
        <v>400703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145280.3-39312-28983</f>
        <v>76985.299999999988</v>
      </c>
      <c r="I592" s="18"/>
      <c r="J592" s="18">
        <f>39312+28983</f>
        <v>68295</v>
      </c>
      <c r="K592" s="104">
        <f t="shared" si="48"/>
        <v>145280.29999999999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8874.34</v>
      </c>
      <c r="I594" s="18"/>
      <c r="J594" s="18"/>
      <c r="K594" s="104">
        <f t="shared" si="48"/>
        <v>8874.34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622</v>
      </c>
      <c r="I595" s="18"/>
      <c r="J595" s="18"/>
      <c r="K595" s="104">
        <f t="shared" si="48"/>
        <v>622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3536.46</v>
      </c>
      <c r="I596" s="18"/>
      <c r="J596" s="18"/>
      <c r="K596" s="104">
        <f t="shared" si="48"/>
        <v>3536.46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334446.93000000005</v>
      </c>
      <c r="I598" s="108">
        <f>SUM(I591:I597)</f>
        <v>0</v>
      </c>
      <c r="J598" s="108">
        <f>SUM(J591:J597)</f>
        <v>224569.17</v>
      </c>
      <c r="K598" s="108">
        <f>SUM(K591:K597)</f>
        <v>559016.1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6264.88+152843.28</f>
        <v>159108.16</v>
      </c>
      <c r="I604" s="18"/>
      <c r="J604" s="18"/>
      <c r="K604" s="104">
        <f>SUM(H604:J604)</f>
        <v>159108.16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159108.16</v>
      </c>
      <c r="I605" s="108">
        <f>SUM(I602:I604)</f>
        <v>0</v>
      </c>
      <c r="J605" s="108">
        <f>SUM(J602:J604)</f>
        <v>0</v>
      </c>
      <c r="K605" s="108">
        <f>SUM(K602:K604)</f>
        <v>159108.16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920742.82</v>
      </c>
      <c r="H617" s="109">
        <f>SUM(F52)</f>
        <v>920742.82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24052.240000000002</v>
      </c>
      <c r="H618" s="109">
        <f>SUM(G52)</f>
        <v>24052.240000000009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33872.769999999997</v>
      </c>
      <c r="H619" s="109">
        <f>SUM(H52)</f>
        <v>33872.769999999997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279027.17</v>
      </c>
      <c r="H621" s="109">
        <f>SUM(J52)</f>
        <v>279027.17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751754.19</v>
      </c>
      <c r="H622" s="109">
        <f>F476</f>
        <v>751754.18999999948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17130.840000000007</v>
      </c>
      <c r="H623" s="109">
        <f>G476</f>
        <v>17130.839999999997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279027.17</v>
      </c>
      <c r="H626" s="109">
        <f>J476</f>
        <v>279027.17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11828893.720000001</v>
      </c>
      <c r="H627" s="104">
        <f>SUM(F468)</f>
        <v>11828893.720000001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178068.53</v>
      </c>
      <c r="H628" s="104">
        <f>SUM(G468)</f>
        <v>178068.53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254925.56999999998</v>
      </c>
      <c r="H629" s="104">
        <f>SUM(H468)</f>
        <v>254925.57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6918.67</v>
      </c>
      <c r="H631" s="104">
        <f>SUM(J468)</f>
        <v>6918.67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11586448.220000001</v>
      </c>
      <c r="H632" s="104">
        <f>SUM(F472)</f>
        <v>11586448.220000001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254925.57</v>
      </c>
      <c r="H633" s="104">
        <f>SUM(H472)</f>
        <v>254925.57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80680.510000000009</v>
      </c>
      <c r="H634" s="104">
        <f>I369</f>
        <v>80680.510000000009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195806.6</v>
      </c>
      <c r="H635" s="104">
        <f>SUM(G472)</f>
        <v>195806.6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6918.67</v>
      </c>
      <c r="H637" s="164">
        <f>SUM(J468)</f>
        <v>6918.67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279027.17</v>
      </c>
      <c r="H640" s="104">
        <f>SUM(G461)</f>
        <v>279027.17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279027.17</v>
      </c>
      <c r="H642" s="104">
        <f>SUM(I461)</f>
        <v>279027.17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6918.67</v>
      </c>
      <c r="H644" s="104">
        <f>H408</f>
        <v>6918.67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6918.67</v>
      </c>
      <c r="H646" s="104">
        <f>L408</f>
        <v>6918.67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559016.1</v>
      </c>
      <c r="H647" s="104">
        <f>L208+L226+L244</f>
        <v>559016.1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159108.16</v>
      </c>
      <c r="H648" s="104">
        <f>(J257+J338)-(J255+J336)</f>
        <v>159108.16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334446.92999999993</v>
      </c>
      <c r="H649" s="104">
        <f>H598</f>
        <v>334446.93000000005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224569.17</v>
      </c>
      <c r="H651" s="104">
        <f>J598</f>
        <v>224569.17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6937206.0099999988</v>
      </c>
      <c r="G660" s="19">
        <f>(L229+L309+L359)</f>
        <v>0</v>
      </c>
      <c r="H660" s="19">
        <f>(L247+L328+L360)</f>
        <v>4789274.3800000008</v>
      </c>
      <c r="I660" s="19">
        <f>SUM(F660:H660)</f>
        <v>11726480.390000001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135459.97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135459.97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334446.92999999993</v>
      </c>
      <c r="G662" s="19">
        <f>(L226+L306)-(J226+J306)</f>
        <v>0</v>
      </c>
      <c r="H662" s="19">
        <f>(L244+L325)-(J244+J325)</f>
        <v>224569.17</v>
      </c>
      <c r="I662" s="19">
        <f>SUM(F662:H662)</f>
        <v>559016.1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159108.16</v>
      </c>
      <c r="G663" s="199">
        <f>SUM(G575:G587)+SUM(I602:I604)+L612</f>
        <v>0</v>
      </c>
      <c r="H663" s="199">
        <f>SUM(H575:H587)+SUM(J602:J604)+L613</f>
        <v>4353312.18</v>
      </c>
      <c r="I663" s="19">
        <f>SUM(F663:H663)</f>
        <v>4512420.34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6308190.9499999993</v>
      </c>
      <c r="G664" s="19">
        <f>G660-SUM(G661:G663)</f>
        <v>0</v>
      </c>
      <c r="H664" s="19">
        <f>H660-SUM(H661:H663)</f>
        <v>211393.03000000119</v>
      </c>
      <c r="I664" s="19">
        <f>I660-SUM(I661:I663)</f>
        <v>6519583.9800000004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498.86</v>
      </c>
      <c r="G665" s="248"/>
      <c r="H665" s="248"/>
      <c r="I665" s="19">
        <f>SUM(F665:H665)</f>
        <v>498.86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12645.21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13068.97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-211393.03</v>
      </c>
      <c r="I669" s="19">
        <f>SUM(F669:H669)</f>
        <v>-211393.03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12645.21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12645.21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fitToHeight="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0" workbookViewId="0">
      <selection activeCell="B39" sqref="B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Chester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1946402.89</v>
      </c>
      <c r="C9" s="229">
        <f>'DOE25'!G197+'DOE25'!G215+'DOE25'!G233+'DOE25'!G276+'DOE25'!G295+'DOE25'!G314</f>
        <v>904494.91</v>
      </c>
    </row>
    <row r="10" spans="1:3" x14ac:dyDescent="0.2">
      <c r="A10" t="s">
        <v>778</v>
      </c>
      <c r="B10" s="240">
        <f>1805105.73+18494.68+18365+19498+491.59+7215+3139.1+3000</f>
        <v>1875309.1</v>
      </c>
      <c r="C10" s="240">
        <f>439719.39+25768.08+2585.52+5246.53+1414.86+137797.48-2273.29-3165.38+275817.87+4863.04+10802.46+103.35+146.83+229.5</f>
        <v>899056.24</v>
      </c>
    </row>
    <row r="11" spans="1:3" x14ac:dyDescent="0.2">
      <c r="A11" t="s">
        <v>779</v>
      </c>
      <c r="B11" s="240">
        <f>25543.23+4173</f>
        <v>29716.23</v>
      </c>
      <c r="C11" s="240">
        <v>2273.29</v>
      </c>
    </row>
    <row r="12" spans="1:3" x14ac:dyDescent="0.2">
      <c r="A12" t="s">
        <v>780</v>
      </c>
      <c r="B12" s="240">
        <f>33867.56+7510</f>
        <v>41377.56</v>
      </c>
      <c r="C12" s="240">
        <v>3165.38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1946402.8900000001</v>
      </c>
      <c r="C13" s="231">
        <f>SUM(C10:C12)</f>
        <v>904494.91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679004.33999999985</v>
      </c>
      <c r="C18" s="229">
        <f>'DOE25'!G198+'DOE25'!G216+'DOE25'!G234+'DOE25'!G277+'DOE25'!G296+'DOE25'!G315</f>
        <v>221849.75000000003</v>
      </c>
    </row>
    <row r="19" spans="1:3" x14ac:dyDescent="0.2">
      <c r="A19" t="s">
        <v>778</v>
      </c>
      <c r="B19" s="240">
        <f>323228.87+3235.6</f>
        <v>326464.46999999997</v>
      </c>
      <c r="C19" s="240">
        <f>106284.96+5417.72+528.24+1937.66+247.52+50666.13+17.53+49025.29-25811.13+1478.19+1930.83</f>
        <v>191722.94</v>
      </c>
    </row>
    <row r="20" spans="1:3" x14ac:dyDescent="0.2">
      <c r="A20" t="s">
        <v>779</v>
      </c>
      <c r="B20" s="240">
        <f>4848.2+40000+292552.2</f>
        <v>337400.4</v>
      </c>
      <c r="C20" s="240">
        <f>25811.13+1478.19+1930.82</f>
        <v>29220.14</v>
      </c>
    </row>
    <row r="21" spans="1:3" x14ac:dyDescent="0.2">
      <c r="A21" t="s">
        <v>780</v>
      </c>
      <c r="B21" s="240">
        <f>578.97+10705.5+3855</f>
        <v>15139.47</v>
      </c>
      <c r="C21" s="240">
        <v>906.67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679004.34</v>
      </c>
      <c r="C22" s="231">
        <f>SUM(C19:C21)</f>
        <v>221849.75000000003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59793.08</v>
      </c>
      <c r="C36" s="235">
        <f>'DOE25'!G200+'DOE25'!G218+'DOE25'!G236+'DOE25'!G279+'DOE25'!G298+'DOE25'!G317</f>
        <v>12408.980000000001</v>
      </c>
    </row>
    <row r="37" spans="1:3" x14ac:dyDescent="0.2">
      <c r="A37" t="s">
        <v>778</v>
      </c>
      <c r="B37" s="240">
        <f>21012+36911.08</f>
        <v>57923.08</v>
      </c>
      <c r="C37" s="240">
        <f>4210.08+7855.64+343.26</f>
        <v>12408.980000000001</v>
      </c>
    </row>
    <row r="38" spans="1:3" x14ac:dyDescent="0.2">
      <c r="A38" t="s">
        <v>779</v>
      </c>
      <c r="B38" s="240">
        <v>0</v>
      </c>
      <c r="C38" s="240">
        <v>0</v>
      </c>
    </row>
    <row r="39" spans="1:3" x14ac:dyDescent="0.2">
      <c r="A39" t="s">
        <v>780</v>
      </c>
      <c r="B39" s="240">
        <v>1870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59793.08</v>
      </c>
      <c r="C40" s="231">
        <f>SUM(C37:C39)</f>
        <v>12408.980000000001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F34" sqref="F3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Chester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8390121.540000001</v>
      </c>
      <c r="D5" s="20">
        <f>SUM('DOE25'!L197:L200)+SUM('DOE25'!L215:L218)+SUM('DOE25'!L233:L236)-F5-G5</f>
        <v>8376848.6600000011</v>
      </c>
      <c r="E5" s="243"/>
      <c r="F5" s="255">
        <f>SUM('DOE25'!J197:J200)+SUM('DOE25'!J215:J218)+SUM('DOE25'!J233:J236)</f>
        <v>13272.88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499970.36000000004</v>
      </c>
      <c r="D6" s="20">
        <f>'DOE25'!L202+'DOE25'!L220+'DOE25'!L238-F6-G6</f>
        <v>499661.51000000007</v>
      </c>
      <c r="E6" s="243"/>
      <c r="F6" s="255">
        <f>'DOE25'!J202+'DOE25'!J220+'DOE25'!J238</f>
        <v>308.85000000000002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420841.57</v>
      </c>
      <c r="D7" s="20">
        <f>'DOE25'!L203+'DOE25'!L221+'DOE25'!L239-F7-G7</f>
        <v>291613.02</v>
      </c>
      <c r="E7" s="243"/>
      <c r="F7" s="255">
        <f>'DOE25'!J203+'DOE25'!J221+'DOE25'!J239</f>
        <v>129228.55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294004.45</v>
      </c>
      <c r="D8" s="243"/>
      <c r="E8" s="20">
        <f>'DOE25'!L204+'DOE25'!L222+'DOE25'!L240-F8-G8-D9-D11</f>
        <v>275664.99</v>
      </c>
      <c r="F8" s="255">
        <f>'DOE25'!J204+'DOE25'!J222+'DOE25'!J240</f>
        <v>1995</v>
      </c>
      <c r="G8" s="53">
        <f>'DOE25'!K204+'DOE25'!K222+'DOE25'!K240</f>
        <v>16344.46</v>
      </c>
      <c r="H8" s="259"/>
    </row>
    <row r="9" spans="1:9" x14ac:dyDescent="0.2">
      <c r="A9" s="32">
        <v>2310</v>
      </c>
      <c r="B9" t="s">
        <v>817</v>
      </c>
      <c r="C9" s="245">
        <f t="shared" si="0"/>
        <v>37031.050000000003</v>
      </c>
      <c r="D9" s="244">
        <v>37031.050000000003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11700</v>
      </c>
      <c r="D10" s="243"/>
      <c r="E10" s="244">
        <v>11700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163451.54</v>
      </c>
      <c r="D11" s="244">
        <v>163451.54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394375.10999999993</v>
      </c>
      <c r="D12" s="20">
        <f>'DOE25'!L205+'DOE25'!L223+'DOE25'!L241-F12-G12</f>
        <v>385088.48999999993</v>
      </c>
      <c r="E12" s="243"/>
      <c r="F12" s="255">
        <f>'DOE25'!J205+'DOE25'!J223+'DOE25'!J241</f>
        <v>7061</v>
      </c>
      <c r="G12" s="53">
        <f>'DOE25'!K205+'DOE25'!K223+'DOE25'!K241</f>
        <v>2225.62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516936.5</v>
      </c>
      <c r="D14" s="20">
        <f>'DOE25'!L207+'DOE25'!L225+'DOE25'!L243-F14-G14</f>
        <v>515959.5</v>
      </c>
      <c r="E14" s="243"/>
      <c r="F14" s="255">
        <f>'DOE25'!J207+'DOE25'!J225+'DOE25'!J243</f>
        <v>977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559016.1</v>
      </c>
      <c r="D15" s="20">
        <f>'DOE25'!L208+'DOE25'!L226+'DOE25'!L244-F15-G15</f>
        <v>559016.1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310700</v>
      </c>
      <c r="D25" s="243"/>
      <c r="E25" s="243"/>
      <c r="F25" s="258"/>
      <c r="G25" s="256"/>
      <c r="H25" s="257">
        <f>'DOE25'!L260+'DOE25'!L261+'DOE25'!L341+'DOE25'!L342</f>
        <v>310700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120926.37</v>
      </c>
      <c r="D29" s="20">
        <f>'DOE25'!L358+'DOE25'!L359+'DOE25'!L360-'DOE25'!I367-F29-G29</f>
        <v>102407.76999999999</v>
      </c>
      <c r="E29" s="243"/>
      <c r="F29" s="255">
        <f>'DOE25'!J358+'DOE25'!J359+'DOE25'!J360</f>
        <v>18068.599999999999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254925.57</v>
      </c>
      <c r="D31" s="20">
        <f>'DOE25'!L290+'DOE25'!L309+'DOE25'!L328+'DOE25'!L333+'DOE25'!L334+'DOE25'!L335-F31-G31</f>
        <v>248610.69</v>
      </c>
      <c r="E31" s="243"/>
      <c r="F31" s="255">
        <f>'DOE25'!J290+'DOE25'!J309+'DOE25'!J328+'DOE25'!J333+'DOE25'!J334+'DOE25'!J335</f>
        <v>6264.8799999999992</v>
      </c>
      <c r="G31" s="53">
        <f>'DOE25'!K290+'DOE25'!K309+'DOE25'!K328+'DOE25'!K333+'DOE25'!K334+'DOE25'!K335</f>
        <v>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11179688.33</v>
      </c>
      <c r="E33" s="246">
        <f>SUM(E5:E31)</f>
        <v>287364.99</v>
      </c>
      <c r="F33" s="246">
        <f>SUM(F5:F31)</f>
        <v>177176.76</v>
      </c>
      <c r="G33" s="246">
        <f>SUM(G5:G31)</f>
        <v>19070.079999999998</v>
      </c>
      <c r="H33" s="246">
        <f>SUM(H5:H31)</f>
        <v>310700</v>
      </c>
    </row>
    <row r="35" spans="2:8" ht="12" thickBot="1" x14ac:dyDescent="0.25">
      <c r="B35" s="253" t="s">
        <v>846</v>
      </c>
      <c r="D35" s="254">
        <f>E33</f>
        <v>287364.99</v>
      </c>
      <c r="E35" s="249"/>
    </row>
    <row r="36" spans="2:8" ht="12" thickTop="1" x14ac:dyDescent="0.2">
      <c r="B36" t="s">
        <v>814</v>
      </c>
      <c r="D36" s="20">
        <f>D33</f>
        <v>11179688.33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Normal="100" workbookViewId="0">
      <pane ySplit="2" topLeftCell="A159" activePane="bottomLeft" state="frozen"/>
      <selection activeCell="F46" sqref="F46"/>
      <selection pane="bottomLeft" activeCell="N106" sqref="N10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">
        <v>914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807623.26</v>
      </c>
      <c r="D8" s="95">
        <f>'DOE25'!G9</f>
        <v>14811.07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40047.259999999995</v>
      </c>
      <c r="D11" s="95">
        <f>'DOE25'!G12</f>
        <v>3983.58</v>
      </c>
      <c r="E11" s="95">
        <f>'DOE25'!H12</f>
        <v>0</v>
      </c>
      <c r="F11" s="95">
        <f>'DOE25'!I12</f>
        <v>0</v>
      </c>
      <c r="G11" s="95">
        <f>'DOE25'!J12</f>
        <v>279027.17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56128.36</v>
      </c>
      <c r="D12" s="95">
        <f>'DOE25'!G13</f>
        <v>2340.04</v>
      </c>
      <c r="E12" s="95">
        <f>'DOE25'!H13</f>
        <v>33872.769999999997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16823.939999999999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2467.5500000000002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120</v>
      </c>
      <c r="D16" s="95">
        <f>'DOE25'!G17</f>
        <v>450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920742.82</v>
      </c>
      <c r="D18" s="41">
        <f>SUM(D8:D17)</f>
        <v>24052.240000000002</v>
      </c>
      <c r="E18" s="41">
        <f>SUM(E8:E17)</f>
        <v>33872.769999999997</v>
      </c>
      <c r="F18" s="41">
        <f>SUM(F8:F17)</f>
        <v>0</v>
      </c>
      <c r="G18" s="41">
        <f>SUM(G8:G17)</f>
        <v>279027.17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3983.58</v>
      </c>
      <c r="D21" s="95">
        <f>'DOE25'!G22</f>
        <v>0</v>
      </c>
      <c r="E21" s="95">
        <f>'DOE25'!H22</f>
        <v>33872.769999999997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134737.82</v>
      </c>
      <c r="D23" s="95">
        <f>'DOE25'!G24</f>
        <v>1528.68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13623.53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8733.7000000000007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7910</v>
      </c>
      <c r="D29" s="95">
        <f>'DOE25'!G30</f>
        <v>5392.72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168988.63</v>
      </c>
      <c r="D31" s="41">
        <f>SUM(D21:D30)</f>
        <v>6921.4000000000005</v>
      </c>
      <c r="E31" s="41">
        <f>SUM(E21:E30)</f>
        <v>33872.769999999997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2467.5500000000002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120</v>
      </c>
      <c r="D35" s="95">
        <f>'DOE25'!G36</f>
        <v>450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6174.49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14213.290000000008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218644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639.54999999999995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279027.17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501176.15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751754.19</v>
      </c>
      <c r="D50" s="41">
        <f>SUM(D34:D49)</f>
        <v>17130.840000000007</v>
      </c>
      <c r="E50" s="41">
        <f>SUM(E34:E49)</f>
        <v>0</v>
      </c>
      <c r="F50" s="41">
        <f>SUM(F34:F49)</f>
        <v>0</v>
      </c>
      <c r="G50" s="41">
        <f>SUM(G34:G49)</f>
        <v>279027.17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920742.82</v>
      </c>
      <c r="D51" s="41">
        <f>D50+D31</f>
        <v>24052.240000000009</v>
      </c>
      <c r="E51" s="41">
        <f>E50+E31</f>
        <v>33872.769999999997</v>
      </c>
      <c r="F51" s="41">
        <f>F50+F31</f>
        <v>0</v>
      </c>
      <c r="G51" s="41">
        <f>G50+G31</f>
        <v>279027.17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7592677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21395.54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13.69</v>
      </c>
      <c r="D59" s="95">
        <f>'DOE25'!G96</f>
        <v>12.17</v>
      </c>
      <c r="E59" s="95">
        <f>'DOE25'!H96</f>
        <v>0</v>
      </c>
      <c r="F59" s="95">
        <f>'DOE25'!I96</f>
        <v>0</v>
      </c>
      <c r="G59" s="95">
        <f>'DOE25'!J96</f>
        <v>6918.67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134906.41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58680.760000000009</v>
      </c>
      <c r="D61" s="95">
        <f>SUM('DOE25'!G98:G110)</f>
        <v>553.55999999999995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80089.990000000005</v>
      </c>
      <c r="D62" s="130">
        <f>SUM(D57:D61)</f>
        <v>135472.14000000001</v>
      </c>
      <c r="E62" s="130">
        <f>SUM(E57:E61)</f>
        <v>0</v>
      </c>
      <c r="F62" s="130">
        <f>SUM(F57:F61)</f>
        <v>0</v>
      </c>
      <c r="G62" s="130">
        <f>SUM(G57:G61)</f>
        <v>6918.67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7672766.9900000002</v>
      </c>
      <c r="D63" s="22">
        <f>D56+D62</f>
        <v>135472.14000000001</v>
      </c>
      <c r="E63" s="22">
        <f>E56+E62</f>
        <v>0</v>
      </c>
      <c r="F63" s="22">
        <f>F56+F62</f>
        <v>0</v>
      </c>
      <c r="G63" s="22">
        <f>G56+G62</f>
        <v>6918.67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2692119.18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1153089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2069.13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3847277.31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90000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96346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2460.46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186346</v>
      </c>
      <c r="D78" s="130">
        <f>SUM(D72:D77)</f>
        <v>2460.46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4033623.31</v>
      </c>
      <c r="D81" s="130">
        <f>SUM(D79:D80)+D78+D70</f>
        <v>2460.46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36582.74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116328.93</v>
      </c>
      <c r="D88" s="95">
        <f>SUM('DOE25'!G153:G161)</f>
        <v>40135.93</v>
      </c>
      <c r="E88" s="95">
        <f>SUM('DOE25'!H153:H161)</f>
        <v>218342.83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116328.93</v>
      </c>
      <c r="D91" s="131">
        <f>SUM(D85:D90)</f>
        <v>40135.93</v>
      </c>
      <c r="E91" s="131">
        <f>SUM(E85:E90)</f>
        <v>254925.56999999998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6174.49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6174.49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11828893.720000001</v>
      </c>
      <c r="D104" s="86">
        <f>D63+D81+D91+D103</f>
        <v>178068.53</v>
      </c>
      <c r="E104" s="86">
        <f>E63+E81+E91+E103</f>
        <v>254925.56999999998</v>
      </c>
      <c r="F104" s="86">
        <f>F63+F81+F91+F103</f>
        <v>0</v>
      </c>
      <c r="G104" s="86">
        <f>G63+G81+G103</f>
        <v>6918.67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6590001.1400000006</v>
      </c>
      <c r="D109" s="24" t="s">
        <v>288</v>
      </c>
      <c r="E109" s="95">
        <f>('DOE25'!L276)+('DOE25'!L295)+('DOE25'!L314)</f>
        <v>87249.23000000001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1716727.54</v>
      </c>
      <c r="D110" s="24" t="s">
        <v>288</v>
      </c>
      <c r="E110" s="95">
        <f>('DOE25'!L277)+('DOE25'!L296)+('DOE25'!L315)</f>
        <v>92103.41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83392.86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8390121.540000001</v>
      </c>
      <c r="D115" s="86">
        <f>SUM(D109:D114)</f>
        <v>0</v>
      </c>
      <c r="E115" s="86">
        <f>SUM(E109:E114)</f>
        <v>179352.64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499970.36000000004</v>
      </c>
      <c r="D118" s="24" t="s">
        <v>288</v>
      </c>
      <c r="E118" s="95">
        <f>+('DOE25'!L281)+('DOE25'!L300)+('DOE25'!L319)</f>
        <v>72687.26999999999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420841.57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494487.04000000004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394375.10999999993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516936.5</v>
      </c>
      <c r="D123" s="24" t="s">
        <v>288</v>
      </c>
      <c r="E123" s="95">
        <f>+('DOE25'!L286)+('DOE25'!L305)+('DOE25'!L324)</f>
        <v>2885.66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559016.1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195806.6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2885626.68</v>
      </c>
      <c r="D128" s="86">
        <f>SUM(D118:D127)</f>
        <v>195806.6</v>
      </c>
      <c r="E128" s="86">
        <f>SUM(E118:E127)</f>
        <v>75572.929999999993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290000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20700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6918.67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-6918.67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310700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11586448.220000001</v>
      </c>
      <c r="D145" s="86">
        <f>(D115+D128+D144)</f>
        <v>195806.6</v>
      </c>
      <c r="E145" s="86">
        <f>(E115+E128+E144)</f>
        <v>254925.57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01/12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2076000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1.24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835000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290000</v>
      </c>
    </row>
    <row r="159" spans="1:9" x14ac:dyDescent="0.2">
      <c r="A159" s="22" t="s">
        <v>35</v>
      </c>
      <c r="B159" s="137">
        <f>'DOE25'!F498</f>
        <v>545000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545000</v>
      </c>
    </row>
    <row r="160" spans="1:9" x14ac:dyDescent="0.2">
      <c r="A160" s="22" t="s">
        <v>36</v>
      </c>
      <c r="B160" s="137">
        <f>'DOE25'!F499</f>
        <v>15975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15975</v>
      </c>
    </row>
    <row r="161" spans="1:7" x14ac:dyDescent="0.2">
      <c r="A161" s="22" t="s">
        <v>37</v>
      </c>
      <c r="B161" s="137">
        <f>'DOE25'!F500</f>
        <v>560975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560975</v>
      </c>
    </row>
    <row r="162" spans="1:7" x14ac:dyDescent="0.2">
      <c r="A162" s="22" t="s">
        <v>38</v>
      </c>
      <c r="B162" s="137">
        <f>'DOE25'!F501</f>
        <v>285000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285000</v>
      </c>
    </row>
    <row r="163" spans="1:7" x14ac:dyDescent="0.2">
      <c r="A163" s="22" t="s">
        <v>39</v>
      </c>
      <c r="B163" s="137">
        <f>'DOE25'!F502</f>
        <v>12075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12075</v>
      </c>
    </row>
    <row r="164" spans="1:7" x14ac:dyDescent="0.2">
      <c r="A164" s="22" t="s">
        <v>246</v>
      </c>
      <c r="B164" s="137">
        <f>'DOE25'!F503</f>
        <v>297075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297075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Chester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12645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12645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6677250</v>
      </c>
      <c r="D10" s="182">
        <f>ROUND((C10/$C$28)*100,1)</f>
        <v>57.5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1808831</v>
      </c>
      <c r="D11" s="182">
        <f>ROUND((C11/$C$28)*100,1)</f>
        <v>15.6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83393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572658</v>
      </c>
      <c r="D15" s="182">
        <f t="shared" ref="D15:D27" si="0">ROUND((C15/$C$28)*100,1)</f>
        <v>4.9000000000000004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420842</v>
      </c>
      <c r="D16" s="182">
        <f t="shared" si="0"/>
        <v>3.6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494487</v>
      </c>
      <c r="D17" s="182">
        <f t="shared" si="0"/>
        <v>4.3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394375</v>
      </c>
      <c r="D18" s="182">
        <f t="shared" si="0"/>
        <v>3.4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519822</v>
      </c>
      <c r="D20" s="182">
        <f t="shared" si="0"/>
        <v>4.5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559016</v>
      </c>
      <c r="D21" s="182">
        <f t="shared" si="0"/>
        <v>4.8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20700</v>
      </c>
      <c r="D25" s="182">
        <f t="shared" si="0"/>
        <v>0.2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60347.03</v>
      </c>
      <c r="D27" s="182">
        <f t="shared" si="0"/>
        <v>0.5</v>
      </c>
    </row>
    <row r="28" spans="1:4" x14ac:dyDescent="0.2">
      <c r="B28" s="187" t="s">
        <v>722</v>
      </c>
      <c r="C28" s="180">
        <f>SUM(C10:C27)</f>
        <v>11611721.029999999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11611721.029999999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290000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7592677</v>
      </c>
      <c r="D35" s="182">
        <f t="shared" ref="D35:D40" si="1">ROUND((C35/$C$41)*100,1)</f>
        <v>62.6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87020.830000000075</v>
      </c>
      <c r="D36" s="182">
        <f t="shared" si="1"/>
        <v>0.7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3845208</v>
      </c>
      <c r="D37" s="182">
        <f t="shared" si="1"/>
        <v>31.7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190876</v>
      </c>
      <c r="D38" s="182">
        <f t="shared" si="1"/>
        <v>1.6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411390</v>
      </c>
      <c r="D39" s="182">
        <f t="shared" si="1"/>
        <v>3.4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12127171.83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Chester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2017-09-01T15:41:22Z</cp:lastPrinted>
  <dcterms:created xsi:type="dcterms:W3CDTF">1997-12-04T19:04:30Z</dcterms:created>
  <dcterms:modified xsi:type="dcterms:W3CDTF">2017-11-29T17:13:31Z</dcterms:modified>
</cp:coreProperties>
</file>