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611" i="1" l="1"/>
  <c r="H604" i="1"/>
  <c r="H526" i="1"/>
  <c r="G526" i="1"/>
  <c r="F526" i="1"/>
  <c r="J526" i="1"/>
  <c r="I526" i="1"/>
  <c r="J521" i="1"/>
  <c r="I521" i="1"/>
  <c r="H521" i="1"/>
  <c r="G521" i="1"/>
  <c r="F521" i="1"/>
  <c r="H472" i="1"/>
  <c r="G472" i="1"/>
  <c r="F472" i="1"/>
  <c r="F367" i="1"/>
  <c r="I358" i="1"/>
  <c r="H358" i="1"/>
  <c r="G358" i="1"/>
  <c r="G282" i="1"/>
  <c r="I281" i="1"/>
  <c r="H281" i="1"/>
  <c r="G281" i="1"/>
  <c r="F281" i="1"/>
  <c r="J276" i="1"/>
  <c r="I276" i="1"/>
  <c r="G276" i="1"/>
  <c r="K266" i="1"/>
  <c r="H244" i="1"/>
  <c r="J202" i="1"/>
  <c r="I205" i="1"/>
  <c r="I203" i="1"/>
  <c r="I202" i="1"/>
  <c r="H209" i="1"/>
  <c r="H208" i="1"/>
  <c r="H204" i="1"/>
  <c r="H203" i="1"/>
  <c r="H202" i="1"/>
  <c r="G209" i="1"/>
  <c r="G205" i="1"/>
  <c r="G204" i="1"/>
  <c r="G203" i="1"/>
  <c r="G202" i="1"/>
  <c r="G200" i="1"/>
  <c r="G198" i="1"/>
  <c r="F204" i="1"/>
  <c r="F203" i="1"/>
  <c r="F202" i="1"/>
  <c r="F200" i="1"/>
  <c r="F198" i="1"/>
  <c r="H159" i="1"/>
  <c r="H155" i="1"/>
  <c r="H154" i="1"/>
  <c r="H150" i="1"/>
  <c r="G97" i="1"/>
  <c r="F110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C112" i="2" s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D15" i="13" s="1"/>
  <c r="C15" i="13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20" i="2"/>
  <c r="E121" i="2"/>
  <c r="C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I461" i="1" s="1"/>
  <c r="H642" i="1" s="1"/>
  <c r="F460" i="1"/>
  <c r="G460" i="1"/>
  <c r="H460" i="1"/>
  <c r="I460" i="1"/>
  <c r="F461" i="1"/>
  <c r="G461" i="1"/>
  <c r="H640" i="1" s="1"/>
  <c r="J640" i="1" s="1"/>
  <c r="H461" i="1"/>
  <c r="G470" i="1"/>
  <c r="G476" i="1" s="1"/>
  <c r="H623" i="1" s="1"/>
  <c r="J623" i="1" s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G641" i="1"/>
  <c r="H641" i="1"/>
  <c r="G643" i="1"/>
  <c r="H643" i="1"/>
  <c r="G644" i="1"/>
  <c r="H644" i="1"/>
  <c r="J644" i="1" s="1"/>
  <c r="G650" i="1"/>
  <c r="G651" i="1"/>
  <c r="G652" i="1"/>
  <c r="H652" i="1"/>
  <c r="G653" i="1"/>
  <c r="H653" i="1"/>
  <c r="G654" i="1"/>
  <c r="H654" i="1"/>
  <c r="H655" i="1"/>
  <c r="L256" i="1"/>
  <c r="I257" i="1"/>
  <c r="I271" i="1" s="1"/>
  <c r="G164" i="2"/>
  <c r="C26" i="10"/>
  <c r="L328" i="1"/>
  <c r="L351" i="1"/>
  <c r="A31" i="12"/>
  <c r="A40" i="12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J641" i="1"/>
  <c r="K605" i="1"/>
  <c r="G648" i="1" s="1"/>
  <c r="J571" i="1"/>
  <c r="K571" i="1"/>
  <c r="L433" i="1"/>
  <c r="L419" i="1"/>
  <c r="D81" i="2"/>
  <c r="I169" i="1"/>
  <c r="J643" i="1"/>
  <c r="J476" i="1"/>
  <c r="H626" i="1" s="1"/>
  <c r="G338" i="1"/>
  <c r="G352" i="1" s="1"/>
  <c r="J140" i="1"/>
  <c r="F571" i="1"/>
  <c r="I552" i="1"/>
  <c r="K550" i="1"/>
  <c r="G22" i="2"/>
  <c r="K545" i="1"/>
  <c r="C29" i="10"/>
  <c r="H140" i="1"/>
  <c r="L393" i="1"/>
  <c r="F22" i="13"/>
  <c r="H25" i="13"/>
  <c r="C25" i="13" s="1"/>
  <c r="H571" i="1"/>
  <c r="L560" i="1"/>
  <c r="H338" i="1"/>
  <c r="H352" i="1" s="1"/>
  <c r="F338" i="1"/>
  <c r="F352" i="1" s="1"/>
  <c r="H192" i="1"/>
  <c r="C35" i="10"/>
  <c r="L309" i="1"/>
  <c r="E16" i="13"/>
  <c r="C16" i="13" s="1"/>
  <c r="J655" i="1"/>
  <c r="L570" i="1"/>
  <c r="I571" i="1"/>
  <c r="J636" i="1"/>
  <c r="G36" i="2"/>
  <c r="L565" i="1"/>
  <c r="K551" i="1"/>
  <c r="C22" i="13"/>
  <c r="C138" i="2"/>
  <c r="H33" i="13"/>
  <c r="A13" i="12" l="1"/>
  <c r="L614" i="1"/>
  <c r="K598" i="1"/>
  <c r="G647" i="1" s="1"/>
  <c r="L544" i="1"/>
  <c r="L545" i="1" s="1"/>
  <c r="H545" i="1"/>
  <c r="G545" i="1"/>
  <c r="K549" i="1"/>
  <c r="K552" i="1" s="1"/>
  <c r="F552" i="1"/>
  <c r="H476" i="1"/>
  <c r="H624" i="1" s="1"/>
  <c r="J624" i="1" s="1"/>
  <c r="I446" i="1"/>
  <c r="G642" i="1" s="1"/>
  <c r="J642" i="1" s="1"/>
  <c r="J645" i="1"/>
  <c r="G645" i="1"/>
  <c r="J634" i="1"/>
  <c r="D29" i="13"/>
  <c r="C29" i="13" s="1"/>
  <c r="H661" i="1"/>
  <c r="F661" i="1"/>
  <c r="L362" i="1"/>
  <c r="C27" i="10" s="1"/>
  <c r="D127" i="2"/>
  <c r="D128" i="2" s="1"/>
  <c r="D145" i="2" s="1"/>
  <c r="E128" i="2"/>
  <c r="E145" i="2" s="1"/>
  <c r="C16" i="10"/>
  <c r="L290" i="1"/>
  <c r="L338" i="1" s="1"/>
  <c r="L352" i="1" s="1"/>
  <c r="G633" i="1" s="1"/>
  <c r="J633" i="1" s="1"/>
  <c r="C11" i="10"/>
  <c r="L247" i="1"/>
  <c r="C109" i="2"/>
  <c r="C115" i="2" s="1"/>
  <c r="H660" i="1"/>
  <c r="C13" i="10"/>
  <c r="D7" i="13"/>
  <c r="C7" i="13" s="1"/>
  <c r="G649" i="1"/>
  <c r="J649" i="1" s="1"/>
  <c r="H647" i="1"/>
  <c r="F662" i="1"/>
  <c r="I662" i="1" s="1"/>
  <c r="C21" i="10"/>
  <c r="C20" i="10"/>
  <c r="C119" i="2"/>
  <c r="D6" i="13"/>
  <c r="C6" i="13" s="1"/>
  <c r="D5" i="13"/>
  <c r="C5" i="13" s="1"/>
  <c r="D12" i="13"/>
  <c r="C12" i="13" s="1"/>
  <c r="C121" i="2"/>
  <c r="C120" i="2"/>
  <c r="C17" i="10"/>
  <c r="E33" i="13"/>
  <c r="D35" i="13" s="1"/>
  <c r="C15" i="10"/>
  <c r="L211" i="1"/>
  <c r="C10" i="10"/>
  <c r="C81" i="2"/>
  <c r="C62" i="2"/>
  <c r="C63" i="2" s="1"/>
  <c r="F112" i="1"/>
  <c r="C36" i="10" s="1"/>
  <c r="H52" i="1"/>
  <c r="H619" i="1" s="1"/>
  <c r="J619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G627" i="1" l="1"/>
  <c r="F468" i="1"/>
  <c r="G51" i="2"/>
  <c r="J647" i="1"/>
  <c r="G104" i="2"/>
  <c r="H646" i="1"/>
  <c r="J646" i="1" s="1"/>
  <c r="G667" i="1"/>
  <c r="H664" i="1"/>
  <c r="H667" i="1" s="1"/>
  <c r="I661" i="1"/>
  <c r="G635" i="1"/>
  <c r="J635" i="1" s="1"/>
  <c r="D31" i="13"/>
  <c r="C31" i="13" s="1"/>
  <c r="F660" i="1"/>
  <c r="F664" i="1" s="1"/>
  <c r="F672" i="1" s="1"/>
  <c r="C4" i="10" s="1"/>
  <c r="L257" i="1"/>
  <c r="L271" i="1" s="1"/>
  <c r="G632" i="1" s="1"/>
  <c r="J632" i="1" s="1"/>
  <c r="C128" i="2"/>
  <c r="C145" i="2" s="1"/>
  <c r="C28" i="10"/>
  <c r="D22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27" i="1" l="1"/>
  <c r="J627" i="1" s="1"/>
  <c r="F470" i="1"/>
  <c r="F476" i="1" s="1"/>
  <c r="H622" i="1" s="1"/>
  <c r="J622" i="1" s="1"/>
  <c r="H672" i="1"/>
  <c r="C6" i="10" s="1"/>
  <c r="I660" i="1"/>
  <c r="I664" i="1" s="1"/>
  <c r="I672" i="1" s="1"/>
  <c r="C7" i="10" s="1"/>
  <c r="D33" i="13"/>
  <c r="D36" i="13" s="1"/>
  <c r="D10" i="10"/>
  <c r="D24" i="10"/>
  <c r="D23" i="10"/>
  <c r="D27" i="10"/>
  <c r="F667" i="1"/>
  <c r="D17" i="10"/>
  <c r="C30" i="10"/>
  <c r="D18" i="10"/>
  <c r="D12" i="10"/>
  <c r="D26" i="10"/>
  <c r="D16" i="10"/>
  <c r="D20" i="10"/>
  <c r="D15" i="10"/>
  <c r="D25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<sst xmlns="http://schemas.openxmlformats.org/spreadsheetml/2006/main" count="3955" uniqueCount="913">
  <si>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</si>
  <si>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</si>
  <si>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</si>
  <si>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</si>
  <si>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</si>
  <si>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</si>
  <si>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</si>
  <si>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</si>
  <si>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</si>
  <si>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</si>
  <si>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</si>
  <si>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</si>
  <si>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</si>
  <si>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</si>
  <si>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</si>
  <si>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</si>
  <si>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</si>
  <si>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</si>
  <si>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</si>
  <si>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</si>
  <si>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</si>
  <si>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</si>
  <si>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</si>
  <si>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</si>
  <si>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</si>
  <si>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</si>
  <si>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</si>
  <si>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</si>
  <si>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</si>
  <si>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</si>
  <si>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</si>
  <si>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</si>
  <si>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</si>
  <si>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</si>
  <si>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</si>
  <si>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</si>
  <si>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</si>
  <si>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</si>
  <si>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</si>
  <si>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</si>
  <si>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</si>
  <si>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</si>
  <si>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</si>
  <si>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</si>
  <si>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</si>
  <si>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</si>
  <si>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</si>
  <si>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</si>
  <si>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</si>
  <si>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</si>
  <si>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</si>
  <si>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</si>
  <si>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</si>
  <si>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</si>
  <si>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</si>
  <si>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</si>
  <si>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</si>
  <si>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</si>
  <si>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</si>
  <si>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</si>
  <si>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</si>
  <si>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</si>
  <si>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</si>
  <si>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</si>
  <si>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</si>
  <si>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</si>
  <si>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</si>
  <si>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</si>
  <si>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</si>
  <si>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</si>
  <si>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</si>
  <si>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</si>
  <si>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</si>
  <si>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</si>
  <si>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</si>
  <si>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</si>
  <si>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</si>
  <si>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</si>
  <si>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</si>
  <si>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</si>
  <si>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</si>
  <si>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</si>
  <si>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</si>
  <si>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</si>
  <si>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</si>
  <si>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</si>
  <si>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</si>
  <si>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</si>
  <si>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</si>
  <si>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</si>
  <si>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</si>
  <si>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</si>
  <si>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</si>
  <si>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</si>
  <si>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</si>
  <si>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</si>
  <si>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</si>
  <si>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</si>
  <si>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</si>
  <si>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</si>
  <si>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</si>
  <si>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</si>
  <si>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</si>
  <si>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</si>
  <si>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</si>
  <si>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</si>
  <si>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</si>
  <si>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</si>
  <si>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</si>
  <si>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</si>
  <si>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</si>
  <si>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</si>
  <si>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</si>
  <si>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</si>
  <si>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</si>
  <si>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</si>
  <si>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</si>
  <si>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</si>
  <si>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</si>
  <si>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</si>
  <si>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</si>
  <si>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</si>
  <si>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</si>
  <si>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</si>
  <si>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</si>
  <si>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</si>
  <si>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</si>
  <si>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</si>
  <si>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</si>
  <si>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</si>
  <si>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</si>
  <si>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</si>
  <si>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</si>
  <si>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</si>
  <si>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</si>
  <si>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</si>
  <si>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</si>
  <si>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</si>
  <si>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</si>
  <si>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</si>
  <si>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</si>
  <si>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</si>
  <si>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</si>
  <si>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</si>
  <si>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</si>
  <si>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</si>
  <si>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</si>
  <si>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</si>
  <si>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</si>
  <si>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</si>
  <si>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</si>
  <si>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</si>
  <si>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</si>
  <si>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</si>
  <si>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</si>
  <si>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</si>
  <si>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</si>
  <si>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</si>
  <si>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</si>
  <si>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</si>
  <si>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</si>
  <si>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</si>
  <si>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</si>
  <si>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</si>
  <si>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</si>
  <si>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</si>
  <si>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</si>
  <si>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</si>
  <si>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</si>
  <si>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</si>
  <si>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</si>
  <si>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</si>
  <si>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</si>
  <si>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</si>
  <si>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</si>
  <si>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</si>
  <si>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</si>
  <si>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</si>
  <si>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</si>
  <si>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</si>
  <si>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</si>
  <si>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</si>
  <si>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</si>
  <si>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</si>
  <si>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</si>
  <si>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</si>
  <si>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</si>
  <si>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</si>
  <si>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</si>
  <si>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</si>
  <si>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</si>
  <si>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</si>
  <si>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</si>
  <si>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</si>
  <si>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</si>
  <si>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</si>
  <si>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</si>
  <si>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</si>
  <si>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</si>
  <si>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</si>
  <si>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</si>
  <si>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</si>
  <si>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</si>
  <si>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</si>
  <si>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</si>
  <si>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</si>
  <si>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</si>
  <si>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</si>
  <si>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</si>
  <si>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</si>
  <si>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</si>
  <si>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</si>
  <si>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</si>
  <si>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</si>
  <si>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</si>
  <si>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</si>
  <si>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</si>
  <si>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</si>
  <si>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</si>
  <si>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</si>
  <si>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</si>
  <si>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</si>
  <si>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</si>
  <si>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</si>
  <si>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</si>
  <si>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</si>
  <si>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</si>
  <si>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</si>
  <si>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</si>
  <si>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</si>
  <si>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</si>
  <si>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</si>
  <si>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</si>
  <si>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</si>
  <si>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</si>
  <si>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</si>
  <si>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</si>
  <si>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</si>
  <si>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</si>
  <si>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</si>
  <si>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</si>
  <si>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</si>
  <si>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</si>
  <si>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</si>
  <si>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</si>
  <si>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</si>
  <si>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</si>
  <si>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</si>
  <si>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</si>
  <si>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</si>
  <si>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</si>
  <si>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</si>
  <si>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</si>
  <si>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</si>
  <si>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</si>
  <si>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</si>
  <si>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</si>
  <si>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</si>
  <si>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</si>
  <si>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</si>
  <si>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</si>
  <si>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</si>
  <si>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</si>
  <si>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</si>
  <si>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</si>
  <si>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</si>
  <si>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</si>
  <si>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</si>
  <si>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</si>
  <si>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</si>
  <si>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</si>
  <si>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</si>
  <si>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</si>
  <si>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</si>
  <si>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</si>
  <si>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</si>
  <si>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</si>
  <si>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</si>
  <si>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</si>
  <si>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</si>
  <si>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</si>
  <si>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</si>
  <si>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</si>
  <si>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</si>
  <si>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</si>
  <si>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</si>
  <si>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</si>
  <si>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</si>
  <si>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</si>
  <si>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</si>
  <si>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</si>
  <si>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</si>
  <si>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</si>
  <si>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</si>
  <si>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</si>
  <si>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</si>
  <si>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</si>
  <si>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</si>
  <si>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</si>
  <si>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</si>
  <si>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</si>
  <si>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</si>
  <si>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</si>
  <si>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</si>
  <si>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</si>
  <si>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</si>
  <si>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</si>
  <si>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</si>
  <si>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</si>
  <si>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</si>
  <si>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</si>
  <si>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</si>
  <si>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</si>
  <si>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</si>
  <si>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</si>
  <si>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</si>
  <si>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</si>
  <si>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</si>
  <si>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</si>
  <si>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</si>
  <si>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</si>
  <si>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</si>
  <si>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</si>
  <si>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</si>
  <si>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</si>
  <si>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</si>
  <si>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</si>
  <si>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</si>
  <si>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</si>
  <si>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</si>
  <si>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</si>
  <si>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</si>
  <si>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</si>
  <si>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</si>
  <si>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</si>
  <si>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</si>
  <si>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</si>
  <si>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</si>
  <si>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</si>
  <si>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</si>
  <si>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</si>
  <si>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</si>
  <si>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</si>
  <si>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</si>
  <si>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</si>
  <si>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</si>
  <si>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</si>
  <si>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</si>
  <si>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</si>
  <si>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</si>
  <si>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</si>
  <si>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</si>
  <si>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</si>
  <si>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</si>
  <si>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</si>
  <si>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</si>
  <si>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</si>
  <si>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</si>
  <si>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</si>
  <si>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</si>
  <si>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</si>
  <si>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</si>
  <si>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</si>
  <si>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</si>
  <si>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</si>
  <si>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</si>
  <si>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</si>
  <si>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</si>
  <si>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</si>
  <si>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</si>
  <si>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</si>
  <si>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</si>
  <si>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</si>
  <si>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</si>
  <si>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</si>
  <si>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</si>
  <si>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</si>
  <si>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</si>
  <si>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</si>
  <si>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</si>
  <si>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</si>
  <si>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</si>
  <si>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</si>
  <si>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</si>
  <si>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</si>
  <si>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</si>
  <si>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</si>
  <si>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</si>
  <si>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</si>
  <si>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</si>
  <si>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</si>
  <si>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</si>
  <si>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</si>
  <si>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</si>
  <si>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</si>
  <si>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</si>
  <si>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</si>
  <si>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</si>
  <si>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</si>
  <si>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</si>
  <si>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</si>
  <si>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</si>
  <si>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</si>
  <si>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</si>
  <si>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</si>
  <si>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</si>
  <si>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</si>
  <si>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</si>
  <si>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</si>
  <si>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</si>
  <si>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</si>
  <si>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</si>
  <si>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</si>
  <si>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</si>
  <si>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</si>
  <si>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</si>
  <si>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</si>
  <si>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</si>
  <si>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</si>
  <si>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</si>
  <si>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</si>
  <si>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</si>
  <si>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</si>
  <si>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</si>
  <si>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</si>
  <si>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</si>
  <si>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</si>
  <si>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</si>
  <si>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</si>
  <si>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</si>
  <si>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</si>
  <si>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</si>
  <si>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</si>
  <si>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</si>
  <si>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</si>
  <si>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</si>
  <si>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</si>
  <si>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</si>
  <si>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</si>
  <si>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</si>
  <si>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</si>
  <si>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</si>
  <si>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</si>
  <si>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</si>
  <si>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</si>
  <si>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</si>
  <si>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</si>
  <si>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</si>
  <si>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</si>
  <si>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</si>
  <si>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</si>
  <si>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</si>
  <si>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</si>
  <si>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</si>
  <si>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</si>
  <si>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</si>
  <si>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</si>
  <si>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</si>
  <si>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</si>
  <si>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</si>
  <si>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</si>
  <si>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</si>
  <si>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</si>
  <si>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</si>
  <si>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</si>
  <si>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</si>
  <si>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</si>
  <si>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</si>
  <si>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</si>
  <si>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</si>
  <si>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</si>
  <si>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</si>
  <si>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</si>
  <si>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</si>
  <si>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</si>
  <si>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</si>
  <si>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</si>
  <si>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</si>
  <si>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</si>
  <si>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</si>
  <si>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</si>
  <si>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</si>
  <si>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</si>
  <si>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</si>
  <si>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</si>
  <si>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</si>
  <si>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</si>
  <si>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</si>
  <si>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</si>
  <si>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</si>
  <si>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</si>
  <si>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</si>
  <si>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</si>
  <si>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</si>
  <si>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</si>
  <si>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</si>
  <si>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</si>
  <si>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</si>
  <si>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</si>
  <si>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</si>
  <si>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</si>
  <si>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</si>
  <si>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</si>
  <si>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</si>
  <si>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</si>
  <si>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</si>
  <si>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</si>
  <si>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</si>
  <si>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</si>
  <si>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</si>
  <si>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</si>
  <si>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</si>
  <si>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</si>
  <si>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</si>
  <si>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</si>
  <si>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</si>
  <si>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</si>
  <si>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</si>
  <si>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</si>
  <si>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</si>
  <si>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</si>
  <si>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</si>
  <si>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</si>
  <si>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</si>
  <si>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</si>
  <si>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</si>
  <si>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</si>
  <si>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</si>
  <si>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</si>
  <si>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</si>
  <si>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</si>
  <si>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</si>
  <si>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</si>
  <si>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</si>
  <si>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</si>
  <si>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</si>
  <si>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</si>
  <si>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</si>
  <si>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</si>
  <si>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</si>
  <si>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</si>
  <si>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</si>
  <si>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</si>
  <si>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</si>
  <si>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</si>
  <si>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</si>
  <si>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</si>
  <si>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</si>
  <si>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</si>
  <si>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</si>
  <si>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</si>
  <si>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</si>
  <si>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</si>
  <si>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</si>
  <si>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</si>
  <si>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</si>
  <si>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</si>
  <si>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</si>
  <si>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</si>
  <si>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</si>
  <si>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</si>
  <si>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</si>
  <si>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</si>
  <si>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</si>
  <si>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</si>
  <si>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</si>
  <si>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</si>
  <si>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</si>
  <si>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</si>
  <si>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</si>
  <si>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</si>
  <si>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</si>
  <si>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</si>
  <si>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</si>
  <si>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</si>
  <si>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</si>
  <si>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</si>
  <si>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</si>
  <si>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</si>
  <si>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</si>
  <si>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</si>
  <si>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</si>
  <si>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</si>
  <si>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</si>
  <si>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</si>
  <si>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</si>
  <si>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</si>
  <si>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</si>
  <si>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</si>
  <si>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</si>
  <si>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</si>
  <si>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</si>
  <si>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</si>
  <si>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</si>
  <si>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</si>
  <si>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</si>
  <si>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</si>
  <si>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</si>
  <si>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</si>
  <si>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</si>
  <si>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</si>
  <si>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</si>
  <si>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</si>
  <si>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</si>
  <si>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</si>
  <si>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</si>
  <si>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</si>
  <si>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</si>
  <si>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</si>
  <si>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</si>
  <si>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</si>
  <si>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</si>
  <si>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</si>
  <si>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</si>
  <si>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</si>
  <si>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</si>
  <si>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</si>
  <si>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</si>
  <si>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</si>
  <si>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</si>
  <si>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</si>
  <si>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</si>
  <si>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</si>
  <si>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</si>
  <si>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</si>
  <si>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</si>
  <si>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</si>
  <si>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</si>
  <si>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</si>
  <si>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</si>
  <si>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</si>
  <si>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</si>
  <si>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</si>
  <si>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</si>
  <si>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</si>
  <si>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</si>
  <si>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</si>
  <si>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</si>
  <si>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</si>
  <si>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</si>
  <si>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</si>
  <si>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</si>
  <si>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</si>
  <si>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</si>
  <si>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</si>
  <si>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</si>
  <si>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</si>
  <si>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</si>
  <si>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</si>
  <si>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</si>
  <si>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</si>
  <si>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</si>
  <si>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</si>
  <si>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</si>
  <si>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</si>
  <si>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</si>
  <si>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</si>
  <si>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</si>
  <si>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</si>
  <si>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</si>
  <si>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</si>
  <si>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</si>
  <si>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</si>
  <si>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</si>
  <si>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</si>
  <si>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</si>
  <si>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</si>
  <si>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</si>
  <si>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</si>
  <si>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</si>
  <si>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</si>
  <si>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</si>
  <si>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</si>
  <si>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</si>
  <si>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</si>
  <si>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</si>
  <si>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</si>
  <si>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</si>
  <si>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</si>
  <si>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</si>
  <si>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</si>
  <si>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</si>
  <si>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</si>
  <si>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</si>
  <si>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</si>
  <si>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</si>
  <si>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</si>
  <si>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</si>
  <si>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</si>
  <si>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</si>
  <si>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</si>
  <si>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</si>
  <si>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</si>
  <si>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</si>
  <si>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</si>
  <si>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</si>
  <si>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</si>
  <si>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</si>
  <si>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</si>
  <si>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</si>
  <si>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</si>
  <si>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</si>
  <si>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</si>
  <si>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</si>
  <si>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</si>
  <si>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</si>
  <si>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</si>
  <si>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</si>
  <si>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</si>
  <si>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</si>
  <si>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</si>
  <si>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</si>
  <si>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</si>
  <si>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</si>
  <si>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</si>
  <si>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</si>
  <si>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</si>
  <si>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</si>
  <si>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</si>
  <si>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</si>
  <si>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</si>
  <si>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</si>
  <si>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</si>
  <si>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</si>
  <si>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</si>
  <si>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</si>
  <si>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</si>
  <si>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</si>
  <si>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</si>
  <si>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</si>
  <si>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</si>
  <si>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</si>
  <si>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</si>
  <si>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</si>
  <si>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</si>
  <si>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</si>
  <si>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</si>
  <si>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</si>
  <si>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</si>
  <si>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</si>
  <si>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</si>
  <si>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</si>
  <si>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</si>
  <si>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</si>
  <si>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</si>
  <si>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</si>
  <si>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</si>
  <si>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</si>
  <si>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</si>
  <si>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</si>
  <si>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</si>
  <si>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</si>
  <si>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</si>
  <si>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</si>
  <si>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</si>
  <si>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</si>
  <si>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</si>
  <si>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</si>
  <si>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</si>
  <si>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</si>
  <si>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</si>
  <si>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</si>
  <si>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</si>
  <si>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</si>
  <si>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</si>
  <si>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</si>
  <si>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</si>
  <si>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</si>
  <si>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</si>
  <si>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</si>
  <si>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</si>
  <si>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</si>
  <si>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</si>
  <si>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</si>
  <si>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</si>
  <si>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</si>
  <si>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</si>
  <si>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</si>
  <si>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</si>
  <si>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</si>
  <si>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</si>
  <si>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</si>
  <si>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</si>
  <si>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</si>
  <si>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</si>
  <si>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</si>
  <si>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</si>
  <si>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</si>
  <si>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</si>
  <si>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</si>
  <si>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</si>
  <si>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</si>
  <si>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</si>
  <si>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</si>
  <si>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</si>
  <si>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</si>
  <si>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</si>
  <si>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</si>
  <si>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</si>
  <si>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</si>
  <si>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</si>
  <si>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</si>
  <si>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</si>
  <si>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</si>
  <si>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</si>
  <si>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</si>
  <si>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</si>
  <si>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</si>
  <si>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</si>
  <si>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</si>
  <si>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</si>
  <si>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</si>
  <si>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</si>
  <si>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</si>
  <si>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</si>
  <si>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</si>
  <si>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</si>
  <si>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</si>
  <si>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</si>
  <si>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</si>
  <si>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</si>
  <si>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</si>
  <si>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</si>
  <si>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</si>
  <si>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</si>
  <si>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</si>
  <si>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</si>
  <si>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</si>
  <si>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</si>
  <si>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</si>
  <si>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</si>
  <si>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</si>
  <si>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</si>
  <si>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</si>
  <si>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</si>
  <si>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</si>
  <si>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</si>
  <si>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</si>
  <si>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</si>
  <si>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</si>
  <si>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</si>
  <si>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</si>
  <si>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</si>
  <si>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</si>
  <si>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</si>
  <si>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</si>
  <si>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</si>
  <si>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</si>
  <si>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</si>
  <si>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</si>
  <si>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</si>
  <si>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</si>
  <si>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</si>
  <si>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</si>
  <si>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</si>
  <si>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</si>
  <si>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</si>
  <si>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</si>
  <si>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</si>
  <si>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</si>
  <si>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</si>
  <si>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</si>
  <si>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</si>
  <si>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</si>
  <si>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</si>
  <si>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</si>
  <si>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</si>
  <si>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</si>
  <si>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</si>
  <si>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</si>
  <si>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</si>
  <si>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</si>
  <si>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</si>
  <si>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</si>
  <si>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</si>
  <si>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</si>
  <si>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</si>
  <si>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</si>
  <si>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</si>
  <si>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</si>
  <si>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</si>
  <si>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</si>
  <si>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</si>
  <si>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</si>
  <si>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</si>
  <si>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</si>
  <si>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</si>
  <si>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</si>
  <si>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</si>
  <si>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</si>
  <si>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</si>
  <si>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</si>
  <si>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</si>
  <si>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</si>
  <si>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</si>
  <si>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</si>
  <si>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</si>
  <si>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</si>
  <si>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</si>
  <si>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</si>
  <si>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</si>
  <si>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</si>
  <si>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</si>
  <si>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</si>
  <si>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</si>
  <si>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</si>
  <si>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</si>
  <si>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</si>
  <si>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</si>
  <si>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</si>
  <si>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</si>
  <si>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</si>
  <si>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CHESTERFIELD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</si>
</sst>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8" zoomScaleNormal="98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3" sqref="F6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95</v>
      </c>
      <c r="C2" s="21">
        <v>95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373013.49+2000-104853.48</f>
        <v>270160.01</v>
      </c>
      <c r="G9" s="18"/>
      <c r="H9" s="18">
        <v>165.56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334584.53999999998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643.95+21819.95</f>
        <v>22463.9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131739.37</v>
      </c>
      <c r="G13" s="18">
        <v>3938.62</v>
      </c>
      <c r="H13" s="18">
        <v>24958.33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707.97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424363.28</v>
      </c>
      <c r="G19" s="41">
        <f>SUM(G9:G18)</f>
        <v>4646.59</v>
      </c>
      <c r="H19" s="41">
        <f>SUM(H9:H18)</f>
        <v>25123.890000000003</v>
      </c>
      <c r="I19" s="41">
        <f>SUM(I9:I18)</f>
        <v>0</v>
      </c>
      <c r="J19" s="41">
        <f>SUM(J9:J18)</f>
        <v>334584.53999999998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643.95000000000005</v>
      </c>
      <c r="H22" s="18">
        <v>21819.95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3376.39</v>
      </c>
      <c r="G23" s="18"/>
      <c r="H23" s="18">
        <v>1444.61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10580.64</v>
      </c>
      <c r="G24" s="18"/>
      <c r="H24" s="18">
        <v>1693.77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6870.64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4002.64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20827.669999999998</v>
      </c>
      <c r="G32" s="41">
        <f>SUM(G22:G31)</f>
        <v>4646.59</v>
      </c>
      <c r="H32" s="41">
        <f>SUM(H22:H31)</f>
        <v>24958.33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>
        <v>165.56</v>
      </c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334584.53999999998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8422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395113.61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403535.61</v>
      </c>
      <c r="G51" s="41">
        <f>SUM(G35:G50)</f>
        <v>0</v>
      </c>
      <c r="H51" s="41">
        <f>SUM(H35:H50)</f>
        <v>165.56</v>
      </c>
      <c r="I51" s="41">
        <f>SUM(I35:I50)</f>
        <v>0</v>
      </c>
      <c r="J51" s="41">
        <f>SUM(J35:J50)</f>
        <v>334584.53999999998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424363.27999999997</v>
      </c>
      <c r="G52" s="41">
        <f>G51+G32</f>
        <v>4646.59</v>
      </c>
      <c r="H52" s="41">
        <f>H51+H32</f>
        <v>25123.890000000003</v>
      </c>
      <c r="I52" s="41">
        <f>I51+I32</f>
        <v>0</v>
      </c>
      <c r="J52" s="41">
        <f>J51+J32</f>
        <v>334584.53999999998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5615604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5615604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47467.4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5639.17</v>
      </c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53106.57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653.39</v>
      </c>
      <c r="G96" s="18"/>
      <c r="H96" s="18"/>
      <c r="I96" s="18"/>
      <c r="J96" s="18">
        <v>1103.1500000000001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45303.33+8955.75+5246.15+3603.5</f>
        <v>63108.73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540</v>
      </c>
      <c r="G102" s="18"/>
      <c r="H102" s="18">
        <v>-4.5599999999999996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46862.78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122.5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35297.16+7422.27</f>
        <v>42719.430000000008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91073.1</v>
      </c>
      <c r="G111" s="41">
        <f>SUM(G96:G110)</f>
        <v>63108.73</v>
      </c>
      <c r="H111" s="41">
        <f>SUM(H96:H110)</f>
        <v>-4.5599999999999996</v>
      </c>
      <c r="I111" s="41">
        <f>SUM(I96:I110)</f>
        <v>0</v>
      </c>
      <c r="J111" s="41">
        <f>SUM(J96:J110)</f>
        <v>1103.1500000000001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5759783.6699999999</v>
      </c>
      <c r="G112" s="41">
        <f>G60+G111</f>
        <v>63108.73</v>
      </c>
      <c r="H112" s="41">
        <f>H60+H79+H94+H111</f>
        <v>-4.5599999999999996</v>
      </c>
      <c r="I112" s="41">
        <f>I60+I111</f>
        <v>0</v>
      </c>
      <c r="J112" s="41">
        <f>J60+J111</f>
        <v>1103.1500000000001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569987.92000000004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1237403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1807390.92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136252.87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1548.28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136252.87</v>
      </c>
      <c r="G136" s="41">
        <f>SUM(G123:G135)</f>
        <v>1548.28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1943643.79</v>
      </c>
      <c r="G140" s="41">
        <f>G121+SUM(G136:G137)</f>
        <v>1548.28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497.03+8554.34+2869.79</f>
        <v>11921.16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326.87+8713.97</f>
        <v>9040.84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211.95+2658.72+21336.74</f>
        <v>24207.41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49673.22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4344.87+57840.04</f>
        <v>62184.91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70723.41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70723.41</v>
      </c>
      <c r="G162" s="41">
        <f>SUM(G150:G161)</f>
        <v>49673.22</v>
      </c>
      <c r="H162" s="41">
        <f>SUM(H150:H161)</f>
        <v>107354.32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70723.41</v>
      </c>
      <c r="G169" s="41">
        <f>G147+G162+SUM(G163:G168)</f>
        <v>49673.22</v>
      </c>
      <c r="H169" s="41">
        <f>H147+H162+SUM(H163:H168)</f>
        <v>107354.32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1978.58</v>
      </c>
      <c r="H179" s="18"/>
      <c r="I179" s="18"/>
      <c r="J179" s="18"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1978.58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44960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44960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44960</v>
      </c>
      <c r="G192" s="41">
        <f>G183+SUM(G188:G191)</f>
        <v>1978.58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7819110.8700000001</v>
      </c>
      <c r="G193" s="47">
        <f>G112+G140+G169+G192</f>
        <v>116308.81000000001</v>
      </c>
      <c r="H193" s="47">
        <f>H112+H140+H169+H192</f>
        <v>107349.76000000001</v>
      </c>
      <c r="I193" s="47">
        <f>I112+I140+I169+I192</f>
        <v>0</v>
      </c>
      <c r="J193" s="47">
        <f>J112+J140+J192</f>
        <v>61103.15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1455418.14</v>
      </c>
      <c r="G197" s="18">
        <v>608703.68000000005</v>
      </c>
      <c r="H197" s="18">
        <v>945.5</v>
      </c>
      <c r="I197" s="18">
        <v>26055.96</v>
      </c>
      <c r="J197" s="18">
        <v>13063.97</v>
      </c>
      <c r="K197" s="18"/>
      <c r="L197" s="19">
        <f>SUM(F197:K197)</f>
        <v>2104187.25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449479.74+9835.23</f>
        <v>459314.97</v>
      </c>
      <c r="G198" s="18">
        <f>263029.33+769.67</f>
        <v>263799</v>
      </c>
      <c r="H198" s="18">
        <v>188368.67</v>
      </c>
      <c r="I198" s="18">
        <v>374.67</v>
      </c>
      <c r="J198" s="18">
        <v>64.989999999999995</v>
      </c>
      <c r="K198" s="18"/>
      <c r="L198" s="19">
        <f>SUM(F198:K198)</f>
        <v>911922.3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13680+3990</f>
        <v>17670</v>
      </c>
      <c r="G200" s="18">
        <f>2074.43+423.63</f>
        <v>2498.06</v>
      </c>
      <c r="H200" s="18">
        <v>13964.17</v>
      </c>
      <c r="I200" s="18">
        <v>2548.2800000000002</v>
      </c>
      <c r="J200" s="18">
        <v>754.31</v>
      </c>
      <c r="K200" s="18">
        <v>6165.57</v>
      </c>
      <c r="L200" s="19">
        <f>SUM(F200:K200)</f>
        <v>43600.39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66250.02+54363.63+48950.24+55680.04+69098.12</f>
        <v>294342.05</v>
      </c>
      <c r="G202" s="18">
        <f>15192.5+30136.91+3923.11+32305.67+24627.74</f>
        <v>106185.93000000001</v>
      </c>
      <c r="H202" s="18">
        <f>7222.5+21338.94+27699.9+2250+867.34</f>
        <v>59378.679999999993</v>
      </c>
      <c r="I202" s="18">
        <f>36.5+1170.73+715.69+66+78.96</f>
        <v>2067.88</v>
      </c>
      <c r="J202" s="18">
        <f>677.73+1127.12+874.17+883.63</f>
        <v>3562.65</v>
      </c>
      <c r="K202" s="18"/>
      <c r="L202" s="19">
        <f t="shared" ref="L202:L208" si="0">SUM(F202:K202)</f>
        <v>465537.19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9470.02+45199.96</f>
        <v>54669.979999999996</v>
      </c>
      <c r="G203" s="18">
        <f>2245.3+16000+29221.4</f>
        <v>47466.7</v>
      </c>
      <c r="H203" s="18">
        <f>8276.16+3335</f>
        <v>11611.16</v>
      </c>
      <c r="I203" s="18">
        <f>1465.07+9412.34</f>
        <v>10877.41</v>
      </c>
      <c r="J203" s="18">
        <v>398.75</v>
      </c>
      <c r="K203" s="18">
        <v>499.99</v>
      </c>
      <c r="L203" s="19">
        <f t="shared" si="0"/>
        <v>125523.99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4750+3277</f>
        <v>8027</v>
      </c>
      <c r="G204" s="18">
        <f>385.32+270.36</f>
        <v>655.68000000000006</v>
      </c>
      <c r="H204" s="18">
        <f>649.28+150+450+8500+17997.78+150+413575</f>
        <v>441472.06</v>
      </c>
      <c r="I204" s="18">
        <v>634.63</v>
      </c>
      <c r="J204" s="18"/>
      <c r="K204" s="18">
        <v>3752.99</v>
      </c>
      <c r="L204" s="19">
        <f t="shared" si="0"/>
        <v>454542.36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168371.43</v>
      </c>
      <c r="G205" s="18">
        <f>60850.69</f>
        <v>60850.69</v>
      </c>
      <c r="H205" s="18">
        <v>18949.09</v>
      </c>
      <c r="I205" s="18">
        <f>1218.58+654.67</f>
        <v>1873.25</v>
      </c>
      <c r="J205" s="18">
        <v>426.95</v>
      </c>
      <c r="K205" s="18">
        <v>645</v>
      </c>
      <c r="L205" s="19">
        <f t="shared" si="0"/>
        <v>251116.41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156225.26</v>
      </c>
      <c r="G207" s="18">
        <v>64600.18</v>
      </c>
      <c r="H207" s="18">
        <v>200382</v>
      </c>
      <c r="I207" s="18">
        <v>82927.13</v>
      </c>
      <c r="J207" s="18">
        <v>15892.16</v>
      </c>
      <c r="K207" s="18"/>
      <c r="L207" s="19">
        <f t="shared" si="0"/>
        <v>520026.73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209027+68246.04+8096.46+2100</f>
        <v>287469.5</v>
      </c>
      <c r="I208" s="18"/>
      <c r="J208" s="18"/>
      <c r="K208" s="18"/>
      <c r="L208" s="19">
        <f t="shared" si="0"/>
        <v>287469.5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2230</v>
      </c>
      <c r="G209" s="18">
        <f>1757.63+452.95</f>
        <v>2210.58</v>
      </c>
      <c r="H209" s="18">
        <f>1215.4+8007.97</f>
        <v>9223.3700000000008</v>
      </c>
      <c r="I209" s="18">
        <v>10819.9</v>
      </c>
      <c r="J209" s="18">
        <v>21943.55</v>
      </c>
      <c r="K209" s="18"/>
      <c r="L209" s="19">
        <f>SUM(F209:K209)</f>
        <v>46427.399999999994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2616268.83</v>
      </c>
      <c r="G211" s="41">
        <f t="shared" si="1"/>
        <v>1156970.5000000002</v>
      </c>
      <c r="H211" s="41">
        <f t="shared" si="1"/>
        <v>1231764.2000000002</v>
      </c>
      <c r="I211" s="41">
        <f t="shared" si="1"/>
        <v>138179.10999999999</v>
      </c>
      <c r="J211" s="41">
        <f t="shared" si="1"/>
        <v>56107.33</v>
      </c>
      <c r="K211" s="41">
        <f t="shared" si="1"/>
        <v>11063.55</v>
      </c>
      <c r="L211" s="41">
        <f t="shared" si="1"/>
        <v>5210353.5199999996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1624454.61</v>
      </c>
      <c r="I233" s="18"/>
      <c r="J233" s="18"/>
      <c r="K233" s="18"/>
      <c r="L233" s="19">
        <f>SUM(F233:K233)</f>
        <v>1624454.61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750803.51</v>
      </c>
      <c r="I234" s="18"/>
      <c r="J234" s="18"/>
      <c r="K234" s="18"/>
      <c r="L234" s="19">
        <f>SUM(F234:K234)</f>
        <v>750803.51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69676+72617.5</f>
        <v>142293.5</v>
      </c>
      <c r="I244" s="18"/>
      <c r="J244" s="18"/>
      <c r="K244" s="18"/>
      <c r="L244" s="19">
        <f t="shared" si="4"/>
        <v>142293.5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2517551.62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2517551.62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2616268.83</v>
      </c>
      <c r="G257" s="41">
        <f t="shared" si="8"/>
        <v>1156970.5000000002</v>
      </c>
      <c r="H257" s="41">
        <f t="shared" si="8"/>
        <v>3749315.8200000003</v>
      </c>
      <c r="I257" s="41">
        <f t="shared" si="8"/>
        <v>138179.10999999999</v>
      </c>
      <c r="J257" s="41">
        <f t="shared" si="8"/>
        <v>56107.33</v>
      </c>
      <c r="K257" s="41">
        <f t="shared" si="8"/>
        <v>11063.55</v>
      </c>
      <c r="L257" s="41">
        <f t="shared" si="8"/>
        <v>7727905.1399999997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1978.58</v>
      </c>
      <c r="L263" s="19">
        <f>SUM(F263:K263)</f>
        <v>1978.58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50000+10000</f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61978.58</v>
      </c>
      <c r="L270" s="41">
        <f t="shared" si="9"/>
        <v>61978.58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2616268.83</v>
      </c>
      <c r="G271" s="42">
        <f t="shared" si="11"/>
        <v>1156970.5000000002</v>
      </c>
      <c r="H271" s="42">
        <f t="shared" si="11"/>
        <v>3749315.8200000003</v>
      </c>
      <c r="I271" s="42">
        <f t="shared" si="11"/>
        <v>138179.10999999999</v>
      </c>
      <c r="J271" s="42">
        <f t="shared" si="11"/>
        <v>56107.33</v>
      </c>
      <c r="K271" s="42">
        <f t="shared" si="11"/>
        <v>73042.13</v>
      </c>
      <c r="L271" s="42">
        <f t="shared" si="11"/>
        <v>7789883.7199999997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5376</v>
      </c>
      <c r="G276" s="18">
        <f>411.24+9.22</f>
        <v>420.46000000000004</v>
      </c>
      <c r="H276" s="18"/>
      <c r="I276" s="18">
        <f>1683.32+645.61+1206.15</f>
        <v>3535.08</v>
      </c>
      <c r="J276" s="18">
        <f>211.95+497.03+6871.02+1015+1018.03</f>
        <v>9613.0300000000007</v>
      </c>
      <c r="K276" s="18"/>
      <c r="L276" s="19">
        <f>SUM(F276:K276)</f>
        <v>18944.57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3518.66</v>
      </c>
      <c r="J277" s="18">
        <v>938</v>
      </c>
      <c r="K277" s="18"/>
      <c r="L277" s="19">
        <f>SUM(F277:K277)</f>
        <v>4456.66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3829.02</f>
        <v>3829.02</v>
      </c>
      <c r="G281" s="18">
        <f>292.92</f>
        <v>292.92</v>
      </c>
      <c r="H281" s="18">
        <f>9553.66</f>
        <v>9553.66</v>
      </c>
      <c r="I281" s="18">
        <f>610.3</f>
        <v>610.29999999999995</v>
      </c>
      <c r="J281" s="18"/>
      <c r="K281" s="18"/>
      <c r="L281" s="19">
        <f t="shared" ref="L281:L287" si="12">SUM(F281:K281)</f>
        <v>14285.899999999998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26380</v>
      </c>
      <c r="G282" s="18">
        <f>2018.07+97.44</f>
        <v>2115.5099999999998</v>
      </c>
      <c r="H282" s="18">
        <v>31192.19</v>
      </c>
      <c r="I282" s="18"/>
      <c r="J282" s="18"/>
      <c r="K282" s="18"/>
      <c r="L282" s="19">
        <f t="shared" si="12"/>
        <v>59687.7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>
        <v>909</v>
      </c>
      <c r="K283" s="18"/>
      <c r="L283" s="19">
        <f t="shared" si="12"/>
        <v>909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9070.49</v>
      </c>
      <c r="L285" s="19">
        <f t="shared" si="12"/>
        <v>9070.49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35585.020000000004</v>
      </c>
      <c r="G290" s="42">
        <f t="shared" si="13"/>
        <v>2828.89</v>
      </c>
      <c r="H290" s="42">
        <f t="shared" si="13"/>
        <v>40745.85</v>
      </c>
      <c r="I290" s="42">
        <f t="shared" si="13"/>
        <v>7664.04</v>
      </c>
      <c r="J290" s="42">
        <f t="shared" si="13"/>
        <v>11460.03</v>
      </c>
      <c r="K290" s="42">
        <f t="shared" si="13"/>
        <v>9070.49</v>
      </c>
      <c r="L290" s="41">
        <f t="shared" si="13"/>
        <v>107354.31999999999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35585.020000000004</v>
      </c>
      <c r="G338" s="41">
        <f t="shared" si="20"/>
        <v>2828.89</v>
      </c>
      <c r="H338" s="41">
        <f t="shared" si="20"/>
        <v>40745.85</v>
      </c>
      <c r="I338" s="41">
        <f t="shared" si="20"/>
        <v>7664.04</v>
      </c>
      <c r="J338" s="41">
        <f t="shared" si="20"/>
        <v>11460.03</v>
      </c>
      <c r="K338" s="41">
        <f t="shared" si="20"/>
        <v>9070.49</v>
      </c>
      <c r="L338" s="41">
        <f t="shared" si="20"/>
        <v>107354.31999999999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35585.020000000004</v>
      </c>
      <c r="G352" s="41">
        <f>G338</f>
        <v>2828.89</v>
      </c>
      <c r="H352" s="41">
        <f>H338</f>
        <v>40745.85</v>
      </c>
      <c r="I352" s="41">
        <f>I338</f>
        <v>7664.04</v>
      </c>
      <c r="J352" s="41">
        <f>J338</f>
        <v>11460.03</v>
      </c>
      <c r="K352" s="47">
        <f>K338+K351</f>
        <v>9070.49</v>
      </c>
      <c r="L352" s="41">
        <f>L338+L351</f>
        <v>107354.31999999999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52775.93</v>
      </c>
      <c r="G358" s="18">
        <f>573+178.16+148.45+4034.58+1136.09</f>
        <v>6070.28</v>
      </c>
      <c r="H358" s="18">
        <f>6000+1800</f>
        <v>7800</v>
      </c>
      <c r="I358" s="18">
        <f>1764.18+47647.95+742.5</f>
        <v>50154.63</v>
      </c>
      <c r="J358" s="18"/>
      <c r="K358" s="18">
        <v>325</v>
      </c>
      <c r="L358" s="13">
        <f>SUM(F358:K358)</f>
        <v>117125.84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52775.93</v>
      </c>
      <c r="G362" s="47">
        <f t="shared" si="22"/>
        <v>6070.28</v>
      </c>
      <c r="H362" s="47">
        <f t="shared" si="22"/>
        <v>7800</v>
      </c>
      <c r="I362" s="47">
        <f t="shared" si="22"/>
        <v>50154.63</v>
      </c>
      <c r="J362" s="47">
        <f t="shared" si="22"/>
        <v>0</v>
      </c>
      <c r="K362" s="47">
        <f t="shared" si="22"/>
        <v>325</v>
      </c>
      <c r="L362" s="47">
        <f t="shared" si="22"/>
        <v>117125.84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47647.95+742.5</f>
        <v>48390.45</v>
      </c>
      <c r="G367" s="18"/>
      <c r="H367" s="18"/>
      <c r="I367" s="56">
        <f>SUM(F367:H367)</f>
        <v>48390.45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1764.18</v>
      </c>
      <c r="G368" s="63"/>
      <c r="H368" s="63"/>
      <c r="I368" s="56">
        <f>SUM(F368:H368)</f>
        <v>1764.18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50154.63</v>
      </c>
      <c r="G369" s="47">
        <f>SUM(G367:G368)</f>
        <v>0</v>
      </c>
      <c r="H369" s="47">
        <f>SUM(H367:H368)</f>
        <v>0</v>
      </c>
      <c r="I369" s="47">
        <f>SUM(I367:I368)</f>
        <v>50154.63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50000</v>
      </c>
      <c r="H389" s="18">
        <v>508.65</v>
      </c>
      <c r="I389" s="18"/>
      <c r="J389" s="24" t="s">
        <v>288</v>
      </c>
      <c r="K389" s="24" t="s">
        <v>288</v>
      </c>
      <c r="L389" s="56">
        <f t="shared" si="25"/>
        <v>50508.65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508.65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50508.65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10000</v>
      </c>
      <c r="H398" s="18">
        <v>594.5</v>
      </c>
      <c r="I398" s="18"/>
      <c r="J398" s="24" t="s">
        <v>288</v>
      </c>
      <c r="K398" s="24" t="s">
        <v>288</v>
      </c>
      <c r="L398" s="56">
        <f t="shared" si="26"/>
        <v>10594.5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594.5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10594.5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1103.1500000000001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61103.15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161126.68</v>
      </c>
      <c r="G440" s="18">
        <v>173457.86</v>
      </c>
      <c r="H440" s="18"/>
      <c r="I440" s="56">
        <f t="shared" si="33"/>
        <v>334584.53999999998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161126.68</v>
      </c>
      <c r="G446" s="13">
        <f>SUM(G439:G445)</f>
        <v>173457.86</v>
      </c>
      <c r="H446" s="13">
        <f>SUM(H439:H445)</f>
        <v>0</v>
      </c>
      <c r="I446" s="13">
        <f>SUM(I439:I445)</f>
        <v>334584.53999999998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161126.68</v>
      </c>
      <c r="G459" s="18">
        <v>173457.86</v>
      </c>
      <c r="H459" s="18"/>
      <c r="I459" s="56">
        <f t="shared" si="34"/>
        <v>334584.53999999998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161126.68</v>
      </c>
      <c r="G460" s="83">
        <f>SUM(G454:G459)</f>
        <v>173457.86</v>
      </c>
      <c r="H460" s="83">
        <f>SUM(H454:H459)</f>
        <v>0</v>
      </c>
      <c r="I460" s="83">
        <f>SUM(I454:I459)</f>
        <v>334584.53999999998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161126.68</v>
      </c>
      <c r="G461" s="42">
        <f>G452+G460</f>
        <v>173457.86</v>
      </c>
      <c r="H461" s="42">
        <f>H452+H460</f>
        <v>0</v>
      </c>
      <c r="I461" s="42">
        <f>I452+I460</f>
        <v>334584.53999999998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374308.46</v>
      </c>
      <c r="G465" s="18">
        <v>817.03</v>
      </c>
      <c r="H465" s="18">
        <v>170.12</v>
      </c>
      <c r="I465" s="18"/>
      <c r="J465" s="18">
        <v>273481.39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7819110.8700000001</v>
      </c>
      <c r="G468" s="18">
        <v>116308.81</v>
      </c>
      <c r="H468" s="18">
        <v>107349.75999999999</v>
      </c>
      <c r="I468" s="18"/>
      <c r="J468" s="18">
        <v>61103.15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7819110.8700000001</v>
      </c>
      <c r="G470" s="53">
        <f>SUM(G468:G469)</f>
        <v>116308.81</v>
      </c>
      <c r="H470" s="53">
        <f>SUM(H468:H469)</f>
        <v>107349.75999999999</v>
      </c>
      <c r="I470" s="53">
        <f>SUM(I468:I469)</f>
        <v>0</v>
      </c>
      <c r="J470" s="53">
        <f>SUM(J468:J469)</f>
        <v>61103.15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7789883.7199999997</v>
      </c>
      <c r="G472" s="18">
        <f>L362</f>
        <v>117125.84</v>
      </c>
      <c r="H472" s="18">
        <f>L352</f>
        <v>107354.31999999999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7789883.7199999997</v>
      </c>
      <c r="G474" s="53">
        <f>SUM(G472:G473)</f>
        <v>117125.84</v>
      </c>
      <c r="H474" s="53">
        <f>SUM(H472:H473)</f>
        <v>107354.31999999999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403535.61000000034</v>
      </c>
      <c r="G476" s="53">
        <f>(G465+G470)- G474</f>
        <v>0</v>
      </c>
      <c r="H476" s="53">
        <f>(H465+H470)- H474</f>
        <v>165.55999999999767</v>
      </c>
      <c r="I476" s="53">
        <f>(I465+I470)- I474</f>
        <v>0</v>
      </c>
      <c r="J476" s="53">
        <f>(J465+J470)- J474</f>
        <v>334584.54000000004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116484.62+332995.12</f>
        <v>449479.74</v>
      </c>
      <c r="G521" s="18">
        <f>199597.44+9750.17+1447.93+1478.4+30796.54+18253.16+1705.69</f>
        <v>263029.33</v>
      </c>
      <c r="H521" s="18">
        <f>368.48+150428.38+37571.81</f>
        <v>188368.67</v>
      </c>
      <c r="I521" s="18">
        <f>204.16+170.51+3518.66</f>
        <v>3893.33</v>
      </c>
      <c r="J521" s="18">
        <f>64.99+938</f>
        <v>1002.99</v>
      </c>
      <c r="K521" s="18"/>
      <c r="L521" s="88">
        <f>SUM(F521:K521)</f>
        <v>905774.06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750803.51</v>
      </c>
      <c r="I523" s="18"/>
      <c r="J523" s="18"/>
      <c r="K523" s="18"/>
      <c r="L523" s="88">
        <f>SUM(F523:K523)</f>
        <v>750803.51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449479.74</v>
      </c>
      <c r="G524" s="108">
        <f t="shared" ref="G524:L524" si="36">SUM(G521:G523)</f>
        <v>263029.33</v>
      </c>
      <c r="H524" s="108">
        <f t="shared" si="36"/>
        <v>939172.18</v>
      </c>
      <c r="I524" s="108">
        <f t="shared" si="36"/>
        <v>3893.33</v>
      </c>
      <c r="J524" s="108">
        <f t="shared" si="36"/>
        <v>1002.99</v>
      </c>
      <c r="K524" s="108">
        <f t="shared" si="36"/>
        <v>0</v>
      </c>
      <c r="L524" s="89">
        <f t="shared" si="36"/>
        <v>1656577.57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3829.02+48950.24+55680.04+69098.12+26380</f>
        <v>203937.41999999998</v>
      </c>
      <c r="G526" s="18">
        <f>292.92+3744.55+178.56+18302.11+575+78+195+4224.88+8725.08+205.6+7448+573+96.72+241.8+5185.32+10827.7+255.2+2018.07+97.44</f>
        <v>63264.950000000004</v>
      </c>
      <c r="H526" s="18">
        <f>4960+27378.05+321.85+9553.66+2250+867.34+8668.64+3335</f>
        <v>57334.539999999994</v>
      </c>
      <c r="I526" s="18">
        <f>651.7+63.99+66+78.96</f>
        <v>860.65000000000009</v>
      </c>
      <c r="J526" s="18">
        <f>1127.12+874.17+883.63</f>
        <v>2884.92</v>
      </c>
      <c r="K526" s="18"/>
      <c r="L526" s="88">
        <f>SUM(F526:K526)</f>
        <v>328282.48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203937.41999999998</v>
      </c>
      <c r="G529" s="89">
        <f t="shared" ref="G529:L529" si="37">SUM(G526:G528)</f>
        <v>63264.950000000004</v>
      </c>
      <c r="H529" s="89">
        <f t="shared" si="37"/>
        <v>57334.539999999994</v>
      </c>
      <c r="I529" s="89">
        <f t="shared" si="37"/>
        <v>860.65000000000009</v>
      </c>
      <c r="J529" s="89">
        <f t="shared" si="37"/>
        <v>2884.92</v>
      </c>
      <c r="K529" s="89">
        <f t="shared" si="37"/>
        <v>0</v>
      </c>
      <c r="L529" s="89">
        <f t="shared" si="37"/>
        <v>328282.48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39555</v>
      </c>
      <c r="I531" s="18"/>
      <c r="J531" s="18"/>
      <c r="K531" s="18">
        <v>6888.5</v>
      </c>
      <c r="L531" s="88">
        <f>SUM(F531:K531)</f>
        <v>46443.5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39555</v>
      </c>
      <c r="I534" s="89">
        <f t="shared" si="38"/>
        <v>0</v>
      </c>
      <c r="J534" s="89">
        <f t="shared" si="38"/>
        <v>0</v>
      </c>
      <c r="K534" s="89">
        <f t="shared" si="38"/>
        <v>6888.5</v>
      </c>
      <c r="L534" s="89">
        <f t="shared" si="38"/>
        <v>46443.5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68246.039999999994</v>
      </c>
      <c r="I541" s="18"/>
      <c r="J541" s="18"/>
      <c r="K541" s="18"/>
      <c r="L541" s="88">
        <f>SUM(F541:K541)</f>
        <v>68246.039999999994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72617.5</v>
      </c>
      <c r="I543" s="18"/>
      <c r="J543" s="18"/>
      <c r="K543" s="18"/>
      <c r="L543" s="88">
        <f>SUM(F543:K543)</f>
        <v>72617.5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140863.53999999998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140863.53999999998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653417.15999999992</v>
      </c>
      <c r="G545" s="89">
        <f t="shared" ref="G545:L545" si="41">G524+G529+G534+G539+G544</f>
        <v>326294.28000000003</v>
      </c>
      <c r="H545" s="89">
        <f t="shared" si="41"/>
        <v>1176925.26</v>
      </c>
      <c r="I545" s="89">
        <f t="shared" si="41"/>
        <v>4753.9799999999996</v>
      </c>
      <c r="J545" s="89">
        <f t="shared" si="41"/>
        <v>3887.91</v>
      </c>
      <c r="K545" s="89">
        <f t="shared" si="41"/>
        <v>6888.5</v>
      </c>
      <c r="L545" s="89">
        <f t="shared" si="41"/>
        <v>2172167.09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905774.06</v>
      </c>
      <c r="G549" s="87">
        <f>L526</f>
        <v>328282.48</v>
      </c>
      <c r="H549" s="87">
        <f>L531</f>
        <v>46443.5</v>
      </c>
      <c r="I549" s="87">
        <f>L536</f>
        <v>0</v>
      </c>
      <c r="J549" s="87">
        <f>L541</f>
        <v>68246.039999999994</v>
      </c>
      <c r="K549" s="87">
        <f>SUM(F549:J549)</f>
        <v>1348746.08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750803.51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72617.5</v>
      </c>
      <c r="K551" s="87">
        <f>SUM(F551:J551)</f>
        <v>823421.01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1656577.57</v>
      </c>
      <c r="G552" s="89">
        <f t="shared" si="42"/>
        <v>328282.48</v>
      </c>
      <c r="H552" s="89">
        <f t="shared" si="42"/>
        <v>46443.5</v>
      </c>
      <c r="I552" s="89">
        <f t="shared" si="42"/>
        <v>0</v>
      </c>
      <c r="J552" s="89">
        <f t="shared" si="42"/>
        <v>140863.53999999998</v>
      </c>
      <c r="K552" s="89">
        <f t="shared" si="42"/>
        <v>2172167.09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1624454.61</v>
      </c>
      <c r="I575" s="87">
        <f>SUM(F575:H575)</f>
        <v>1624454.61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37571.81</v>
      </c>
      <c r="G579" s="18"/>
      <c r="H579" s="18">
        <v>498211.97</v>
      </c>
      <c r="I579" s="87">
        <f t="shared" si="47"/>
        <v>535783.78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150428.38</v>
      </c>
      <c r="G582" s="18"/>
      <c r="H582" s="18">
        <v>252591.54</v>
      </c>
      <c r="I582" s="87">
        <f t="shared" si="47"/>
        <v>403019.92000000004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209027</v>
      </c>
      <c r="I591" s="18"/>
      <c r="J591" s="18">
        <v>69676</v>
      </c>
      <c r="K591" s="104">
        <f t="shared" ref="K591:K597" si="48">SUM(H591:J591)</f>
        <v>278703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68246.039999999994</v>
      </c>
      <c r="I592" s="18"/>
      <c r="J592" s="18">
        <v>72617.5</v>
      </c>
      <c r="K592" s="104">
        <f t="shared" si="48"/>
        <v>140863.53999999998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8096.46</v>
      </c>
      <c r="I594" s="18"/>
      <c r="J594" s="18"/>
      <c r="K594" s="104">
        <f t="shared" si="48"/>
        <v>8096.46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2100</v>
      </c>
      <c r="I595" s="18"/>
      <c r="J595" s="18"/>
      <c r="K595" s="104">
        <f t="shared" si="48"/>
        <v>2100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287469.5</v>
      </c>
      <c r="I598" s="108">
        <f>SUM(I591:I597)</f>
        <v>0</v>
      </c>
      <c r="J598" s="108">
        <f>SUM(J591:J597)</f>
        <v>142293.5</v>
      </c>
      <c r="K598" s="108">
        <f>SUM(K591:K597)</f>
        <v>429763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22677+1002.99+754.31+677.73+1127.12+874.17+883.63+398.75+909+426.95+15892.16+21943.55</f>
        <v>67567.360000000001</v>
      </c>
      <c r="I604" s="18"/>
      <c r="J604" s="18"/>
      <c r="K604" s="104">
        <f>SUM(H604:J604)</f>
        <v>67567.360000000001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67567.360000000001</v>
      </c>
      <c r="I605" s="108">
        <f>SUM(I602:I604)</f>
        <v>0</v>
      </c>
      <c r="J605" s="108">
        <f>SUM(J602:J604)</f>
        <v>0</v>
      </c>
      <c r="K605" s="108">
        <f>SUM(K602:K604)</f>
        <v>67567.360000000001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3990</v>
      </c>
      <c r="G611" s="18">
        <f>305.23+100.28+18.12</f>
        <v>423.63</v>
      </c>
      <c r="H611" s="18"/>
      <c r="I611" s="18"/>
      <c r="J611" s="18"/>
      <c r="K611" s="18"/>
      <c r="L611" s="88">
        <f>SUM(F611:K611)</f>
        <v>4413.63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3990</v>
      </c>
      <c r="G614" s="108">
        <f t="shared" si="49"/>
        <v>423.63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4413.63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424363.28</v>
      </c>
      <c r="H617" s="109">
        <f>SUM(F52)</f>
        <v>424363.27999999997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4646.59</v>
      </c>
      <c r="H618" s="109">
        <f>SUM(G52)</f>
        <v>4646.59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25123.890000000003</v>
      </c>
      <c r="H619" s="109">
        <f>SUM(H52)</f>
        <v>25123.890000000003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334584.53999999998</v>
      </c>
      <c r="H621" s="109">
        <f>SUM(J52)</f>
        <v>334584.53999999998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403535.61</v>
      </c>
      <c r="H622" s="109">
        <f>F476</f>
        <v>403535.61000000034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165.56</v>
      </c>
      <c r="H624" s="109">
        <f>H476</f>
        <v>165.55999999999767</v>
      </c>
      <c r="I624" s="121" t="s">
        <v>103</v>
      </c>
      <c r="J624" s="109">
        <f t="shared" si="50"/>
        <v>2.3305801732931286E-12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334584.53999999998</v>
      </c>
      <c r="H626" s="109">
        <f>J476</f>
        <v>334584.54000000004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7819110.8700000001</v>
      </c>
      <c r="H627" s="104">
        <f>SUM(F468)</f>
        <v>7819110.8700000001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116308.81000000001</v>
      </c>
      <c r="H628" s="104">
        <f>SUM(G468)</f>
        <v>116308.81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107349.76000000001</v>
      </c>
      <c r="H629" s="104">
        <f>SUM(H468)</f>
        <v>107349.75999999999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61103.15</v>
      </c>
      <c r="H631" s="104">
        <f>SUM(J468)</f>
        <v>61103.15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7789883.7199999997</v>
      </c>
      <c r="H632" s="104">
        <f>SUM(F472)</f>
        <v>7789883.7199999997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107354.31999999999</v>
      </c>
      <c r="H633" s="104">
        <f>SUM(H472)</f>
        <v>107354.31999999999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50154.63</v>
      </c>
      <c r="H634" s="104">
        <f>I369</f>
        <v>50154.63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117125.84</v>
      </c>
      <c r="H635" s="104">
        <f>SUM(G472)</f>
        <v>117125.84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61103.15</v>
      </c>
      <c r="H637" s="164">
        <f>SUM(J468)</f>
        <v>61103.15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161126.68</v>
      </c>
      <c r="H639" s="104">
        <f>SUM(F461)</f>
        <v>161126.68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173457.86</v>
      </c>
      <c r="H640" s="104">
        <f>SUM(G461)</f>
        <v>173457.86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334584.53999999998</v>
      </c>
      <c r="H642" s="104">
        <f>SUM(I461)</f>
        <v>334584.53999999998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1103.1500000000001</v>
      </c>
      <c r="H644" s="104">
        <f>H408</f>
        <v>1103.1500000000001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61103.15</v>
      </c>
      <c r="H646" s="104">
        <f>L408</f>
        <v>61103.15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429763</v>
      </c>
      <c r="H647" s="104">
        <f>L208+L226+L244</f>
        <v>429763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67567.360000000001</v>
      </c>
      <c r="H648" s="104">
        <f>(J257+J338)-(J255+J336)</f>
        <v>67567.360000000001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287469.5</v>
      </c>
      <c r="H649" s="104">
        <f>H598</f>
        <v>287469.5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142293.5</v>
      </c>
      <c r="H651" s="104">
        <f>J598</f>
        <v>142293.5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1978.58</v>
      </c>
      <c r="H652" s="104">
        <f>K263+K345</f>
        <v>1978.58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5434833.6799999997</v>
      </c>
      <c r="G660" s="19">
        <f>(L229+L309+L359)</f>
        <v>0</v>
      </c>
      <c r="H660" s="19">
        <f>(L247+L328+L360)</f>
        <v>2517551.62</v>
      </c>
      <c r="I660" s="19">
        <f>SUM(F660:H660)</f>
        <v>7952385.2999999998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63108.73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63108.73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287469.5</v>
      </c>
      <c r="G662" s="19">
        <f>(L226+L306)-(J226+J306)</f>
        <v>0</v>
      </c>
      <c r="H662" s="19">
        <f>(L244+L325)-(J244+J325)</f>
        <v>142293.5</v>
      </c>
      <c r="I662" s="19">
        <f>SUM(F662:H662)</f>
        <v>429763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259981.18</v>
      </c>
      <c r="G663" s="199">
        <f>SUM(G575:G587)+SUM(I602:I604)+L612</f>
        <v>0</v>
      </c>
      <c r="H663" s="199">
        <f>SUM(H575:H587)+SUM(J602:J604)+L613</f>
        <v>2375258.12</v>
      </c>
      <c r="I663" s="19">
        <f>SUM(F663:H663)</f>
        <v>2635239.3000000003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4824274.2699999996</v>
      </c>
      <c r="G664" s="19">
        <f>G660-SUM(G661:G663)</f>
        <v>0</v>
      </c>
      <c r="H664" s="19">
        <f>H660-SUM(H661:H663)</f>
        <v>0</v>
      </c>
      <c r="I664" s="19">
        <f>I660-SUM(I661:I663)</f>
        <v>4824274.2699999996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292.81</v>
      </c>
      <c r="G665" s="248"/>
      <c r="H665" s="248"/>
      <c r="I665" s="19">
        <f>SUM(F665:H665)</f>
        <v>292.81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16475.78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16475.78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16475.78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16475.78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CHESTERFIELD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1460794.14</v>
      </c>
      <c r="C9" s="229">
        <f>'DOE25'!G197+'DOE25'!G215+'DOE25'!G233+'DOE25'!G276+'DOE25'!G295+'DOE25'!G314</f>
        <v>609124.14</v>
      </c>
    </row>
    <row r="10" spans="1:3" x14ac:dyDescent="0.2">
      <c r="A10" t="s">
        <v>778</v>
      </c>
      <c r="B10" s="240">
        <v>1455418.14</v>
      </c>
      <c r="C10" s="240">
        <v>606882.44999999995</v>
      </c>
    </row>
    <row r="11" spans="1:3" x14ac:dyDescent="0.2">
      <c r="A11" t="s">
        <v>779</v>
      </c>
      <c r="B11" s="240">
        <v>5376</v>
      </c>
      <c r="C11" s="240">
        <v>2241.69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1460794.14</v>
      </c>
      <c r="C13" s="231">
        <f>SUM(C10:C12)</f>
        <v>609124.1399999999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459314.97</v>
      </c>
      <c r="C18" s="229">
        <f>'DOE25'!G198+'DOE25'!G216+'DOE25'!G234+'DOE25'!G277+'DOE25'!G296+'DOE25'!G315</f>
        <v>263799</v>
      </c>
    </row>
    <row r="19" spans="1:3" x14ac:dyDescent="0.2">
      <c r="A19" t="s">
        <v>778</v>
      </c>
      <c r="B19" s="240">
        <v>126319.85</v>
      </c>
      <c r="C19" s="240">
        <v>72549.53</v>
      </c>
    </row>
    <row r="20" spans="1:3" x14ac:dyDescent="0.2">
      <c r="A20" t="s">
        <v>779</v>
      </c>
      <c r="B20" s="240">
        <v>332995.12</v>
      </c>
      <c r="C20" s="240">
        <v>191249.47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459314.97</v>
      </c>
      <c r="C22" s="231">
        <f>SUM(C19:C21)</f>
        <v>263799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17670</v>
      </c>
      <c r="C36" s="235">
        <f>'DOE25'!G200+'DOE25'!G218+'DOE25'!G236+'DOE25'!G279+'DOE25'!G298+'DOE25'!G317</f>
        <v>2498.06</v>
      </c>
    </row>
    <row r="37" spans="1:3" x14ac:dyDescent="0.2">
      <c r="A37" t="s">
        <v>778</v>
      </c>
      <c r="B37" s="240">
        <v>12900</v>
      </c>
      <c r="C37" s="240">
        <v>1823.71</v>
      </c>
    </row>
    <row r="38" spans="1:3" x14ac:dyDescent="0.2">
      <c r="A38" t="s">
        <v>779</v>
      </c>
      <c r="B38" s="240">
        <v>4770</v>
      </c>
      <c r="C38" s="240">
        <v>674.35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17670</v>
      </c>
      <c r="C40" s="231">
        <f>SUM(C37:C39)</f>
        <v>2498.06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CHESTERFIELD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5434968.0600000005</v>
      </c>
      <c r="D5" s="20">
        <f>SUM('DOE25'!L197:L200)+SUM('DOE25'!L215:L218)+SUM('DOE25'!L233:L236)-F5-G5</f>
        <v>5414919.2200000007</v>
      </c>
      <c r="E5" s="243"/>
      <c r="F5" s="255">
        <f>SUM('DOE25'!J197:J200)+SUM('DOE25'!J215:J218)+SUM('DOE25'!J233:J236)</f>
        <v>13883.269999999999</v>
      </c>
      <c r="G5" s="53">
        <f>SUM('DOE25'!K197:K200)+SUM('DOE25'!K215:K218)+SUM('DOE25'!K233:K236)</f>
        <v>6165.57</v>
      </c>
      <c r="H5" s="259"/>
    </row>
    <row r="6" spans="1:9" x14ac:dyDescent="0.2">
      <c r="A6" s="32">
        <v>2100</v>
      </c>
      <c r="B6" t="s">
        <v>800</v>
      </c>
      <c r="C6" s="245">
        <f t="shared" si="0"/>
        <v>465537.19</v>
      </c>
      <c r="D6" s="20">
        <f>'DOE25'!L202+'DOE25'!L220+'DOE25'!L238-F6-G6</f>
        <v>461974.54</v>
      </c>
      <c r="E6" s="243"/>
      <c r="F6" s="255">
        <f>'DOE25'!J202+'DOE25'!J220+'DOE25'!J238</f>
        <v>3562.65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125523.99</v>
      </c>
      <c r="D7" s="20">
        <f>'DOE25'!L203+'DOE25'!L221+'DOE25'!L239-F7-G7</f>
        <v>124625.25</v>
      </c>
      <c r="E7" s="243"/>
      <c r="F7" s="255">
        <f>'DOE25'!J203+'DOE25'!J221+'DOE25'!J239</f>
        <v>398.75</v>
      </c>
      <c r="G7" s="53">
        <f>'DOE25'!K203+'DOE25'!K221+'DOE25'!K239</f>
        <v>499.99</v>
      </c>
      <c r="H7" s="259"/>
    </row>
    <row r="8" spans="1:9" x14ac:dyDescent="0.2">
      <c r="A8" s="32">
        <v>2300</v>
      </c>
      <c r="B8" t="s">
        <v>801</v>
      </c>
      <c r="C8" s="245">
        <f t="shared" si="0"/>
        <v>347215</v>
      </c>
      <c r="D8" s="243"/>
      <c r="E8" s="20">
        <f>'DOE25'!L204+'DOE25'!L222+'DOE25'!L240-F8-G8-D9-D11</f>
        <v>343462.01</v>
      </c>
      <c r="F8" s="255">
        <f>'DOE25'!J204+'DOE25'!J222+'DOE25'!J240</f>
        <v>0</v>
      </c>
      <c r="G8" s="53">
        <f>'DOE25'!K204+'DOE25'!K222+'DOE25'!K240</f>
        <v>3752.99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40967.360000000001</v>
      </c>
      <c r="D9" s="244">
        <v>40967.360000000001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66360</v>
      </c>
      <c r="D11" s="244">
        <v>66360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251116.41</v>
      </c>
      <c r="D12" s="20">
        <f>'DOE25'!L205+'DOE25'!L223+'DOE25'!L241-F12-G12</f>
        <v>250044.46</v>
      </c>
      <c r="E12" s="243"/>
      <c r="F12" s="255">
        <f>'DOE25'!J205+'DOE25'!J223+'DOE25'!J241</f>
        <v>426.95</v>
      </c>
      <c r="G12" s="53">
        <f>'DOE25'!K205+'DOE25'!K223+'DOE25'!K241</f>
        <v>645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520026.73</v>
      </c>
      <c r="D14" s="20">
        <f>'DOE25'!L207+'DOE25'!L225+'DOE25'!L243-F14-G14</f>
        <v>504134.57</v>
      </c>
      <c r="E14" s="243"/>
      <c r="F14" s="255">
        <f>'DOE25'!J207+'DOE25'!J225+'DOE25'!J243</f>
        <v>15892.16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429763</v>
      </c>
      <c r="D15" s="20">
        <f>'DOE25'!L208+'DOE25'!L226+'DOE25'!L244-F15-G15</f>
        <v>429763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46427.399999999994</v>
      </c>
      <c r="D16" s="243"/>
      <c r="E16" s="20">
        <f>'DOE25'!L209+'DOE25'!L227+'DOE25'!L245-F16-G16</f>
        <v>24483.849999999995</v>
      </c>
      <c r="F16" s="255">
        <f>'DOE25'!J209+'DOE25'!J227+'DOE25'!J245</f>
        <v>21943.55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68735.39</v>
      </c>
      <c r="D29" s="20">
        <f>'DOE25'!L358+'DOE25'!L359+'DOE25'!L360-'DOE25'!I367-F29-G29</f>
        <v>68410.39</v>
      </c>
      <c r="E29" s="243"/>
      <c r="F29" s="255">
        <f>'DOE25'!J358+'DOE25'!J359+'DOE25'!J360</f>
        <v>0</v>
      </c>
      <c r="G29" s="53">
        <f>'DOE25'!K358+'DOE25'!K359+'DOE25'!K360</f>
        <v>325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107354.31999999999</v>
      </c>
      <c r="D31" s="20">
        <f>'DOE25'!L290+'DOE25'!L309+'DOE25'!L328+'DOE25'!L333+'DOE25'!L334+'DOE25'!L335-F31-G31</f>
        <v>86823.799999999988</v>
      </c>
      <c r="E31" s="243"/>
      <c r="F31" s="255">
        <f>'DOE25'!J290+'DOE25'!J309+'DOE25'!J328+'DOE25'!J333+'DOE25'!J334+'DOE25'!J335</f>
        <v>11460.03</v>
      </c>
      <c r="G31" s="53">
        <f>'DOE25'!K290+'DOE25'!K309+'DOE25'!K328+'DOE25'!K333+'DOE25'!K334+'DOE25'!K335</f>
        <v>9070.49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7448022.5900000008</v>
      </c>
      <c r="E33" s="246">
        <f>SUM(E5:E31)</f>
        <v>376445.86</v>
      </c>
      <c r="F33" s="246">
        <f>SUM(F5:F31)</f>
        <v>67567.360000000001</v>
      </c>
      <c r="G33" s="246">
        <f>SUM(G5:G31)</f>
        <v>20459.04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376445.86</v>
      </c>
      <c r="E35" s="249"/>
    </row>
    <row r="36" spans="2:8" ht="12" thickTop="1" x14ac:dyDescent="0.2">
      <c r="B36" t="s">
        <v>814</v>
      </c>
      <c r="D36" s="20">
        <f>D33</f>
        <v>7448022.5900000008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270160.01</v>
      </c>
      <c r="D8" s="95">
        <f>'DOE25'!G9</f>
        <v>0</v>
      </c>
      <c r="E8" s="95">
        <f>'DOE25'!H9</f>
        <v>165.56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334584.53999999998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22463.9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131739.37</v>
      </c>
      <c r="D12" s="95">
        <f>'DOE25'!G13</f>
        <v>3938.62</v>
      </c>
      <c r="E12" s="95">
        <f>'DOE25'!H13</f>
        <v>24958.33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707.97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424363.28</v>
      </c>
      <c r="D18" s="41">
        <f>SUM(D8:D17)</f>
        <v>4646.59</v>
      </c>
      <c r="E18" s="41">
        <f>SUM(E8:E17)</f>
        <v>25123.890000000003</v>
      </c>
      <c r="F18" s="41">
        <f>SUM(F8:F17)</f>
        <v>0</v>
      </c>
      <c r="G18" s="41">
        <f>SUM(G8:G17)</f>
        <v>334584.53999999998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643.95000000000005</v>
      </c>
      <c r="E21" s="95">
        <f>'DOE25'!H22</f>
        <v>21819.95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3376.39</v>
      </c>
      <c r="D22" s="95">
        <f>'DOE25'!G23</f>
        <v>0</v>
      </c>
      <c r="E22" s="95">
        <f>'DOE25'!H23</f>
        <v>1444.61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10580.64</v>
      </c>
      <c r="D23" s="95">
        <f>'DOE25'!G24</f>
        <v>0</v>
      </c>
      <c r="E23" s="95">
        <f>'DOE25'!H24</f>
        <v>1693.77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6870.64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4002.64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20827.669999999998</v>
      </c>
      <c r="D31" s="41">
        <f>SUM(D21:D30)</f>
        <v>4646.59</v>
      </c>
      <c r="E31" s="41">
        <f>SUM(E21:E30)</f>
        <v>24958.33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165.56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334584.53999999998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8422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395113.61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403535.61</v>
      </c>
      <c r="D50" s="41">
        <f>SUM(D34:D49)</f>
        <v>0</v>
      </c>
      <c r="E50" s="41">
        <f>SUM(E34:E49)</f>
        <v>165.56</v>
      </c>
      <c r="F50" s="41">
        <f>SUM(F34:F49)</f>
        <v>0</v>
      </c>
      <c r="G50" s="41">
        <f>SUM(G34:G49)</f>
        <v>334584.53999999998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424363.27999999997</v>
      </c>
      <c r="D51" s="41">
        <f>D50+D31</f>
        <v>4646.59</v>
      </c>
      <c r="E51" s="41">
        <f>E50+E31</f>
        <v>25123.890000000003</v>
      </c>
      <c r="F51" s="41">
        <f>F50+F31</f>
        <v>0</v>
      </c>
      <c r="G51" s="41">
        <f>G50+G31</f>
        <v>334584.53999999998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5615604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53106.57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653.39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1103.1500000000001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63108.73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90419.71</v>
      </c>
      <c r="D61" s="95">
        <f>SUM('DOE25'!G98:G110)</f>
        <v>0</v>
      </c>
      <c r="E61" s="95">
        <f>SUM('DOE25'!H98:H110)</f>
        <v>-4.5599999999999996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144179.67000000001</v>
      </c>
      <c r="D62" s="130">
        <f>SUM(D57:D61)</f>
        <v>63108.73</v>
      </c>
      <c r="E62" s="130">
        <f>SUM(E57:E61)</f>
        <v>-4.5599999999999996</v>
      </c>
      <c r="F62" s="130">
        <f>SUM(F57:F61)</f>
        <v>0</v>
      </c>
      <c r="G62" s="130">
        <f>SUM(G57:G61)</f>
        <v>1103.1500000000001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5759783.6699999999</v>
      </c>
      <c r="D63" s="22">
        <f>D56+D62</f>
        <v>63108.73</v>
      </c>
      <c r="E63" s="22">
        <f>E56+E62</f>
        <v>-4.5599999999999996</v>
      </c>
      <c r="F63" s="22">
        <f>F56+F62</f>
        <v>0</v>
      </c>
      <c r="G63" s="22">
        <f>G56+G62</f>
        <v>1103.1500000000001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569987.92000000004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1237403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1807390.92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136252.87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1548.28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136252.87</v>
      </c>
      <c r="D78" s="130">
        <f>SUM(D72:D77)</f>
        <v>1548.28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1943643.79</v>
      </c>
      <c r="D81" s="130">
        <f>SUM(D79:D80)+D78+D70</f>
        <v>1548.28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11921.16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70723.41</v>
      </c>
      <c r="D88" s="95">
        <f>SUM('DOE25'!G153:G161)</f>
        <v>49673.22</v>
      </c>
      <c r="E88" s="95">
        <f>SUM('DOE25'!H153:H161)</f>
        <v>95433.16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70723.41</v>
      </c>
      <c r="D91" s="131">
        <f>SUM(D85:D90)</f>
        <v>49673.22</v>
      </c>
      <c r="E91" s="131">
        <f>SUM(E85:E90)</f>
        <v>107354.32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1978.58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44960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44960</v>
      </c>
      <c r="D103" s="86">
        <f>SUM(D93:D102)</f>
        <v>1978.58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7819110.8700000001</v>
      </c>
      <c r="D104" s="86">
        <f>D63+D81+D91+D103</f>
        <v>116308.81000000001</v>
      </c>
      <c r="E104" s="86">
        <f>E63+E81+E91+E103</f>
        <v>107349.76000000001</v>
      </c>
      <c r="F104" s="86">
        <f>F63+F81+F91+F103</f>
        <v>0</v>
      </c>
      <c r="G104" s="86">
        <f>G63+G81+G103</f>
        <v>61103.15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3728641.8600000003</v>
      </c>
      <c r="D109" s="24" t="s">
        <v>288</v>
      </c>
      <c r="E109" s="95">
        <f>('DOE25'!L276)+('DOE25'!L295)+('DOE25'!L314)</f>
        <v>18944.57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1662725.81</v>
      </c>
      <c r="D110" s="24" t="s">
        <v>288</v>
      </c>
      <c r="E110" s="95">
        <f>('DOE25'!L277)+('DOE25'!L296)+('DOE25'!L315)</f>
        <v>4456.66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43600.39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5434968.0599999996</v>
      </c>
      <c r="D115" s="86">
        <f>SUM(D109:D114)</f>
        <v>0</v>
      </c>
      <c r="E115" s="86">
        <f>SUM(E109:E114)</f>
        <v>23401.23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465537.19</v>
      </c>
      <c r="D118" s="24" t="s">
        <v>288</v>
      </c>
      <c r="E118" s="95">
        <f>+('DOE25'!L281)+('DOE25'!L300)+('DOE25'!L319)</f>
        <v>14285.899999999998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125523.99</v>
      </c>
      <c r="D119" s="24" t="s">
        <v>288</v>
      </c>
      <c r="E119" s="95">
        <f>+('DOE25'!L282)+('DOE25'!L301)+('DOE25'!L320)</f>
        <v>59687.7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454542.36</v>
      </c>
      <c r="D120" s="24" t="s">
        <v>288</v>
      </c>
      <c r="E120" s="95">
        <f>+('DOE25'!L283)+('DOE25'!L302)+('DOE25'!L321)</f>
        <v>909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251116.41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9070.49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520026.73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429763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46427.399999999994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117125.84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2292937.0799999996</v>
      </c>
      <c r="D128" s="86">
        <f>SUM(D118:D127)</f>
        <v>117125.84</v>
      </c>
      <c r="E128" s="86">
        <f>SUM(E118:E127)</f>
        <v>83953.09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1978.58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50508.65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10594.5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-1103.1500000000015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61978.58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7789883.7199999988</v>
      </c>
      <c r="D145" s="86">
        <f>(D115+D128+D144)</f>
        <v>117125.84</v>
      </c>
      <c r="E145" s="86">
        <f>(E115+E128+E144)</f>
        <v>107354.31999999999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CHESTERFIELD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16476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16476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3747586</v>
      </c>
      <c r="D10" s="182">
        <f>ROUND((C10/$C$28)*100,1)</f>
        <v>47.5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1667182</v>
      </c>
      <c r="D11" s="182">
        <f>ROUND((C11/$C$28)*100,1)</f>
        <v>21.1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43600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479823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185212</v>
      </c>
      <c r="D16" s="182">
        <f t="shared" si="0"/>
        <v>2.2999999999999998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501879</v>
      </c>
      <c r="D17" s="182">
        <f t="shared" si="0"/>
        <v>6.4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251116</v>
      </c>
      <c r="D18" s="182">
        <f t="shared" si="0"/>
        <v>3.2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9070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520027</v>
      </c>
      <c r="D20" s="182">
        <f t="shared" si="0"/>
        <v>6.6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429763</v>
      </c>
      <c r="D21" s="182">
        <f t="shared" si="0"/>
        <v>5.4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54017.27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7889275.2699999996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7889275.2699999996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5615604</v>
      </c>
      <c r="D35" s="182">
        <f t="shared" ref="D35:D40" si="1">ROUND((C35/$C$41)*100,1)</f>
        <v>70.8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145278.26000000071</v>
      </c>
      <c r="D36" s="182">
        <f t="shared" si="1"/>
        <v>1.8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1807391</v>
      </c>
      <c r="D37" s="182">
        <f t="shared" si="1"/>
        <v>22.8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137801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227751</v>
      </c>
      <c r="D39" s="182">
        <f t="shared" si="1"/>
        <v>2.9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7933825.2600000007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CHESTERFIELD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2017-09-06T13:07:42Z</cp:lastPrinted>
  <dcterms:created xsi:type="dcterms:W3CDTF">1997-12-04T19:04:30Z</dcterms:created>
  <dcterms:modified xsi:type="dcterms:W3CDTF">2017-11-29T17:13:32Z</dcterms:modified>
</cp:coreProperties>
</file>