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105" yWindow="-30" windowWidth="16650" windowHeight="128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E131" i="2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9" i="10"/>
  <c r="L250" i="1"/>
  <c r="L332" i="1"/>
  <c r="L254" i="1"/>
  <c r="L268" i="1"/>
  <c r="L269" i="1"/>
  <c r="L349" i="1"/>
  <c r="L350" i="1"/>
  <c r="I665" i="1"/>
  <c r="I670" i="1"/>
  <c r="L229" i="1"/>
  <c r="L247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E31" i="2" s="1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C119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G408" i="1"/>
  <c r="H408" i="1"/>
  <c r="H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G461" i="1" s="1"/>
  <c r="H640" i="1" s="1"/>
  <c r="J640" i="1" s="1"/>
  <c r="H460" i="1"/>
  <c r="F461" i="1"/>
  <c r="H461" i="1"/>
  <c r="F470" i="1"/>
  <c r="G470" i="1"/>
  <c r="H470" i="1"/>
  <c r="I470" i="1"/>
  <c r="J470" i="1"/>
  <c r="J476" i="1" s="1"/>
  <c r="H626" i="1" s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H645" i="1"/>
  <c r="G650" i="1"/>
  <c r="G651" i="1"/>
  <c r="J651" i="1" s="1"/>
  <c r="G652" i="1"/>
  <c r="H652" i="1"/>
  <c r="G653" i="1"/>
  <c r="H653" i="1"/>
  <c r="G654" i="1"/>
  <c r="H654" i="1"/>
  <c r="H655" i="1"/>
  <c r="J655" i="1" s="1"/>
  <c r="F192" i="1"/>
  <c r="L256" i="1"/>
  <c r="G164" i="2"/>
  <c r="C26" i="10"/>
  <c r="L328" i="1"/>
  <c r="A31" i="12"/>
  <c r="C70" i="2"/>
  <c r="D62" i="2"/>
  <c r="D63" i="2" s="1"/>
  <c r="D18" i="13"/>
  <c r="C18" i="13" s="1"/>
  <c r="D17" i="13"/>
  <c r="C17" i="13" s="1"/>
  <c r="C91" i="2"/>
  <c r="F78" i="2"/>
  <c r="F81" i="2" s="1"/>
  <c r="D50" i="2"/>
  <c r="G157" i="2"/>
  <c r="F18" i="2"/>
  <c r="G161" i="2"/>
  <c r="G156" i="2"/>
  <c r="E103" i="2"/>
  <c r="D91" i="2"/>
  <c r="E62" i="2"/>
  <c r="E63" i="2" s="1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J571" i="1"/>
  <c r="K571" i="1"/>
  <c r="L433" i="1"/>
  <c r="L419" i="1"/>
  <c r="I169" i="1"/>
  <c r="J643" i="1"/>
  <c r="I476" i="1"/>
  <c r="H625" i="1" s="1"/>
  <c r="J625" i="1" s="1"/>
  <c r="J140" i="1"/>
  <c r="F571" i="1"/>
  <c r="I552" i="1"/>
  <c r="K550" i="1"/>
  <c r="G22" i="2"/>
  <c r="K545" i="1"/>
  <c r="H552" i="1"/>
  <c r="C29" i="10"/>
  <c r="H140" i="1"/>
  <c r="L393" i="1"/>
  <c r="F22" i="13"/>
  <c r="C22" i="13" s="1"/>
  <c r="L560" i="1"/>
  <c r="H192" i="1"/>
  <c r="F552" i="1"/>
  <c r="C35" i="10"/>
  <c r="L309" i="1"/>
  <c r="E16" i="13"/>
  <c r="J645" i="1"/>
  <c r="L570" i="1"/>
  <c r="I571" i="1"/>
  <c r="I545" i="1"/>
  <c r="J636" i="1"/>
  <c r="G36" i="2"/>
  <c r="L565" i="1"/>
  <c r="G545" i="1"/>
  <c r="H545" i="1"/>
  <c r="C138" i="2"/>
  <c r="C16" i="13"/>
  <c r="F476" i="1" l="1"/>
  <c r="H622" i="1" s="1"/>
  <c r="J622" i="1" s="1"/>
  <c r="L544" i="1"/>
  <c r="K549" i="1"/>
  <c r="G552" i="1"/>
  <c r="L529" i="1"/>
  <c r="L545" i="1" s="1"/>
  <c r="K552" i="1"/>
  <c r="D18" i="2"/>
  <c r="C20" i="10"/>
  <c r="G62" i="2"/>
  <c r="J644" i="1"/>
  <c r="J338" i="1"/>
  <c r="J352" i="1" s="1"/>
  <c r="I662" i="1"/>
  <c r="L351" i="1"/>
  <c r="D5" i="13"/>
  <c r="C5" i="13" s="1"/>
  <c r="K598" i="1"/>
  <c r="G647" i="1" s="1"/>
  <c r="H476" i="1"/>
  <c r="H624" i="1" s="1"/>
  <c r="J624" i="1" s="1"/>
  <c r="I460" i="1"/>
  <c r="I461" i="1" s="1"/>
  <c r="H642" i="1" s="1"/>
  <c r="I446" i="1"/>
  <c r="G642" i="1" s="1"/>
  <c r="J642" i="1" s="1"/>
  <c r="L401" i="1"/>
  <c r="C139" i="2" s="1"/>
  <c r="I369" i="1"/>
  <c r="H634" i="1" s="1"/>
  <c r="J634" i="1"/>
  <c r="J623" i="1"/>
  <c r="C18" i="2"/>
  <c r="D29" i="13"/>
  <c r="C29" i="13" s="1"/>
  <c r="K338" i="1"/>
  <c r="K352" i="1" s="1"/>
  <c r="C132" i="2"/>
  <c r="H25" i="13"/>
  <c r="C25" i="13"/>
  <c r="H33" i="13"/>
  <c r="C131" i="2"/>
  <c r="G661" i="1"/>
  <c r="C18" i="10"/>
  <c r="C17" i="10"/>
  <c r="C15" i="10"/>
  <c r="C110" i="2"/>
  <c r="C115" i="2" s="1"/>
  <c r="L362" i="1"/>
  <c r="C27" i="10" s="1"/>
  <c r="F661" i="1"/>
  <c r="H660" i="1"/>
  <c r="H664" i="1" s="1"/>
  <c r="H672" i="1" s="1"/>
  <c r="C6" i="10" s="1"/>
  <c r="D15" i="13"/>
  <c r="C15" i="13" s="1"/>
  <c r="G649" i="1"/>
  <c r="J649" i="1" s="1"/>
  <c r="H647" i="1"/>
  <c r="C124" i="2"/>
  <c r="D6" i="13"/>
  <c r="C6" i="13" s="1"/>
  <c r="H52" i="1"/>
  <c r="H619" i="1" s="1"/>
  <c r="E115" i="2"/>
  <c r="L211" i="1"/>
  <c r="L257" i="1" s="1"/>
  <c r="L271" i="1" s="1"/>
  <c r="G632" i="1" s="1"/>
  <c r="J632" i="1" s="1"/>
  <c r="D127" i="2"/>
  <c r="D128" i="2" s="1"/>
  <c r="D145" i="2" s="1"/>
  <c r="E128" i="2"/>
  <c r="C16" i="10"/>
  <c r="L290" i="1"/>
  <c r="C10" i="10"/>
  <c r="C121" i="2"/>
  <c r="C120" i="2"/>
  <c r="E33" i="13"/>
  <c r="D35" i="13" s="1"/>
  <c r="C11" i="10"/>
  <c r="C81" i="2"/>
  <c r="F112" i="1"/>
  <c r="C62" i="2"/>
  <c r="C56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H648" i="1" l="1"/>
  <c r="J648" i="1" s="1"/>
  <c r="J647" i="1"/>
  <c r="H646" i="1"/>
  <c r="J646" i="1" s="1"/>
  <c r="C141" i="2"/>
  <c r="C144" i="2" s="1"/>
  <c r="I661" i="1"/>
  <c r="G664" i="1"/>
  <c r="G667" i="1" s="1"/>
  <c r="G635" i="1"/>
  <c r="J635" i="1" s="1"/>
  <c r="E145" i="2"/>
  <c r="C128" i="2"/>
  <c r="H667" i="1"/>
  <c r="F660" i="1"/>
  <c r="F664" i="1" s="1"/>
  <c r="F667" i="1" s="1"/>
  <c r="D31" i="13"/>
  <c r="C31" i="13" s="1"/>
  <c r="L338" i="1"/>
  <c r="L352" i="1" s="1"/>
  <c r="G633" i="1" s="1"/>
  <c r="J633" i="1" s="1"/>
  <c r="C28" i="10"/>
  <c r="D22" i="10" s="1"/>
  <c r="C63" i="2"/>
  <c r="C104" i="2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G672" i="1"/>
  <c r="C5" i="10" s="1"/>
  <c r="I660" i="1"/>
  <c r="I664" i="1" s="1"/>
  <c r="I672" i="1" s="1"/>
  <c r="C7" i="10" s="1"/>
  <c r="D33" i="13"/>
  <c r="D36" i="13" s="1"/>
  <c r="F672" i="1"/>
  <c r="C4" i="10" s="1"/>
  <c r="D23" i="10"/>
  <c r="D17" i="10"/>
  <c r="D27" i="10"/>
  <c r="D13" i="10"/>
  <c r="D18" i="10"/>
  <c r="D11" i="10"/>
  <c r="C30" i="10"/>
  <c r="D25" i="10"/>
  <c r="D24" i="10"/>
  <c r="D10" i="10"/>
  <c r="D21" i="10"/>
  <c r="D20" i="10"/>
  <c r="D12" i="10"/>
  <c r="D26" i="10"/>
  <c r="D16" i="10"/>
  <c r="D15" i="10"/>
  <c r="D19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<sst xmlns="http://schemas.openxmlformats.org/spreadsheetml/2006/main" count="3958" uniqueCount="916">
  <si>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</si>
  <si>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</si>
  <si>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</si>
  <si>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</si>
  <si>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</si>
  <si>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</si>
  <si>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</si>
  <si>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</si>
  <si>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</si>
  <si>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</si>
  <si>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</si>
  <si>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</si>
  <si>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</si>
  <si>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</si>
  <si>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</si>
  <si>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</si>
  <si>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</si>
  <si>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</si>
  <si>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</si>
  <si>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</si>
  <si>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</si>
  <si>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</si>
  <si>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</si>
  <si>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</si>
  <si>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</si>
  <si>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</si>
  <si>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</si>
  <si>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</si>
  <si>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</si>
  <si>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</si>
  <si>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</si>
  <si>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</si>
  <si>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</si>
  <si>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</si>
  <si>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</si>
  <si>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</si>
  <si>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</si>
  <si>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</si>
  <si>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</si>
  <si>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</si>
  <si>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</si>
  <si>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</si>
  <si>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</si>
  <si>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</si>
  <si>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</si>
  <si>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</si>
  <si>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</si>
  <si>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</si>
  <si>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</si>
  <si>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</si>
  <si>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</si>
  <si>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</si>
  <si>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</si>
  <si>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</si>
  <si>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</si>
  <si>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</si>
  <si>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</si>
  <si>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</si>
  <si>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</si>
  <si>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</si>
  <si>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</si>
  <si>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</si>
  <si>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</si>
  <si>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</si>
  <si>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</si>
  <si>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</si>
  <si>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</si>
  <si>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</si>
  <si>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</si>
  <si>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</si>
  <si>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</si>
  <si>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</si>
  <si>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</si>
  <si>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</si>
  <si>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</si>
  <si>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</si>
  <si>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</si>
  <si>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</si>
  <si>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</si>
  <si>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</si>
  <si>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</si>
  <si>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</si>
  <si>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</si>
  <si>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</si>
  <si>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</si>
  <si>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</si>
  <si>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</si>
  <si>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</si>
  <si>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</si>
  <si>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</si>
  <si>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</si>
  <si>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</si>
  <si>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</si>
  <si>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</si>
  <si>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</si>
  <si>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</si>
  <si>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</si>
  <si>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</si>
  <si>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</si>
  <si>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</si>
  <si>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</si>
  <si>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</si>
  <si>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</si>
  <si>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</si>
  <si>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</si>
  <si>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</si>
  <si>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</si>
  <si>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</si>
  <si>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</si>
  <si>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</si>
  <si>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</si>
  <si>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</si>
  <si>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</si>
  <si>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</si>
  <si>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</si>
  <si>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</si>
  <si>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</si>
  <si>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</si>
  <si>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</si>
  <si>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</si>
  <si>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</si>
  <si>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</si>
  <si>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</si>
  <si>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</si>
  <si>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</si>
  <si>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</si>
  <si>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</si>
  <si>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</si>
  <si>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</si>
  <si>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</si>
  <si>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</si>
  <si>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</si>
  <si>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</si>
  <si>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</si>
  <si>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</si>
  <si>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</si>
  <si>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</si>
  <si>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</si>
  <si>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</si>
  <si>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</si>
  <si>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</si>
  <si>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</si>
  <si>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</si>
  <si>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</si>
  <si>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</si>
  <si>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</si>
  <si>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</si>
  <si>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</si>
  <si>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</si>
  <si>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</si>
  <si>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</si>
  <si>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</si>
  <si>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</si>
  <si>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</si>
  <si>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</si>
  <si>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</si>
  <si>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</si>
  <si>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</si>
  <si>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</si>
  <si>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</si>
  <si>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</si>
  <si>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</si>
  <si>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</si>
  <si>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</si>
  <si>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</si>
  <si>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</si>
  <si>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</si>
  <si>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</si>
  <si>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</si>
  <si>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</si>
  <si>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</si>
  <si>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</si>
  <si>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</si>
  <si>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</si>
  <si>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</si>
  <si>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</si>
  <si>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</si>
  <si>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</si>
  <si>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</si>
  <si>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</si>
  <si>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</si>
  <si>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</si>
  <si>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</si>
  <si>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</si>
  <si>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</si>
  <si>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</si>
  <si>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</si>
  <si>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</si>
  <si>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</si>
  <si>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</si>
  <si>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</si>
  <si>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</si>
  <si>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</si>
  <si>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</si>
  <si>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</si>
  <si>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</si>
  <si>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</si>
  <si>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</si>
  <si>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</si>
  <si>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</si>
  <si>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</si>
  <si>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</si>
  <si>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</si>
  <si>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</si>
  <si>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</si>
  <si>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</si>
  <si>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</si>
  <si>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</si>
  <si>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</si>
  <si>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</si>
  <si>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</si>
  <si>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</si>
  <si>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</si>
  <si>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</si>
  <si>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</si>
  <si>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</si>
  <si>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</si>
  <si>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</si>
  <si>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</si>
  <si>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</si>
  <si>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</si>
  <si>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</si>
  <si>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</si>
  <si>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</si>
  <si>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</si>
  <si>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</si>
  <si>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</si>
  <si>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</si>
  <si>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</si>
  <si>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</si>
  <si>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</si>
  <si>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</si>
  <si>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</si>
  <si>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</si>
  <si>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</si>
  <si>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</si>
  <si>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</si>
  <si>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</si>
  <si>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</si>
  <si>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</si>
  <si>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</si>
  <si>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</si>
  <si>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</si>
  <si>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</si>
  <si>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</si>
  <si>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</si>
  <si>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</si>
  <si>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</si>
  <si>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</si>
  <si>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</si>
  <si>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</si>
  <si>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</si>
  <si>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</si>
  <si>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</si>
  <si>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</si>
  <si>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</si>
  <si>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</si>
  <si>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</si>
  <si>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</si>
  <si>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</si>
  <si>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</si>
  <si>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</si>
  <si>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</si>
  <si>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</si>
  <si>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</si>
  <si>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</si>
  <si>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</si>
  <si>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</si>
  <si>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</si>
  <si>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</si>
  <si>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</si>
  <si>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</si>
  <si>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</si>
  <si>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</si>
  <si>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</si>
  <si>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</si>
  <si>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</si>
  <si>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</si>
  <si>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</si>
  <si>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</si>
  <si>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</si>
  <si>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</si>
  <si>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</si>
  <si>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</si>
  <si>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</si>
  <si>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</si>
  <si>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</si>
  <si>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</si>
  <si>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</si>
  <si>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</si>
  <si>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</si>
  <si>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</si>
  <si>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</si>
  <si>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</si>
  <si>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</si>
  <si>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</si>
  <si>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</si>
  <si>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</si>
  <si>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</si>
  <si>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</si>
  <si>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</si>
  <si>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</si>
  <si>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</si>
  <si>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</si>
  <si>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</si>
  <si>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</si>
  <si>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</si>
  <si>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</si>
  <si>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</si>
  <si>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</si>
  <si>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</si>
  <si>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</si>
  <si>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</si>
  <si>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</si>
  <si>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</si>
  <si>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</si>
  <si>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</si>
  <si>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</si>
  <si>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</si>
  <si>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</si>
  <si>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</si>
  <si>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</si>
  <si>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</si>
  <si>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</si>
  <si>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</si>
  <si>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</si>
  <si>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</si>
  <si>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</si>
  <si>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</si>
  <si>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</si>
  <si>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</si>
  <si>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</si>
  <si>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</si>
  <si>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</si>
  <si>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</si>
  <si>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</si>
  <si>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</si>
  <si>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</si>
  <si>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</si>
  <si>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</si>
  <si>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</si>
  <si>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</si>
  <si>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</si>
  <si>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</si>
  <si>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</si>
  <si>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</si>
  <si>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</si>
  <si>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</si>
  <si>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</si>
  <si>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</si>
  <si>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</si>
  <si>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</si>
  <si>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</si>
  <si>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</si>
  <si>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</si>
  <si>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</si>
  <si>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</si>
  <si>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</si>
  <si>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</si>
  <si>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</si>
  <si>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</si>
  <si>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</si>
  <si>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</si>
  <si>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</si>
  <si>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</si>
  <si>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</si>
  <si>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</si>
  <si>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</si>
  <si>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</si>
  <si>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</si>
  <si>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</si>
  <si>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</si>
  <si>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</si>
  <si>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</si>
  <si>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</si>
  <si>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</si>
  <si>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</si>
  <si>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</si>
  <si>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</si>
  <si>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</si>
  <si>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</si>
  <si>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</si>
  <si>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</si>
  <si>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</si>
  <si>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</si>
  <si>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</si>
  <si>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</si>
  <si>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</si>
  <si>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</si>
  <si>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</si>
  <si>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</si>
  <si>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</si>
  <si>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</si>
  <si>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</si>
  <si>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</si>
  <si>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</si>
  <si>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</si>
  <si>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</si>
  <si>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</si>
  <si>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</si>
  <si>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</si>
  <si>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</si>
  <si>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</si>
  <si>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</si>
  <si>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</si>
  <si>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</si>
  <si>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</si>
  <si>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</si>
  <si>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</si>
  <si>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</si>
  <si>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</si>
  <si>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</si>
  <si>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</si>
  <si>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</si>
  <si>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</si>
  <si>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</si>
  <si>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</si>
  <si>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</si>
  <si>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</si>
  <si>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</si>
  <si>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</si>
  <si>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</si>
  <si>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</si>
  <si>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</si>
  <si>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</si>
  <si>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</si>
  <si>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</si>
  <si>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</si>
  <si>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</si>
  <si>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</si>
  <si>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</si>
  <si>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</si>
  <si>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</si>
  <si>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</si>
  <si>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</si>
  <si>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</si>
  <si>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</si>
  <si>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</si>
  <si>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</si>
  <si>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</si>
  <si>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</si>
  <si>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</si>
  <si>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</si>
  <si>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</si>
  <si>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</si>
  <si>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</si>
  <si>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</si>
  <si>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</si>
  <si>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</si>
  <si>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</si>
  <si>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</si>
  <si>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</si>
  <si>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</si>
  <si>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</si>
  <si>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</si>
  <si>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</si>
  <si>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</si>
  <si>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</si>
  <si>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</si>
  <si>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</si>
  <si>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</si>
  <si>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</si>
  <si>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</si>
  <si>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</si>
  <si>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</si>
  <si>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</si>
  <si>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</si>
  <si>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</si>
  <si>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</si>
  <si>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</si>
  <si>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</si>
  <si>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</si>
  <si>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</si>
  <si>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</si>
  <si>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</si>
  <si>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</si>
  <si>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</si>
  <si>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</si>
  <si>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</si>
  <si>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</si>
  <si>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</si>
  <si>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</si>
  <si>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</si>
  <si>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</si>
  <si>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</si>
  <si>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</si>
  <si>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</si>
  <si>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</si>
  <si>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</si>
  <si>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</si>
  <si>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</si>
  <si>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</si>
  <si>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</si>
  <si>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</si>
  <si>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</si>
  <si>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</si>
  <si>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</si>
  <si>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</si>
  <si>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</si>
  <si>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</si>
  <si>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</si>
  <si>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</si>
  <si>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</si>
  <si>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</si>
  <si>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</si>
  <si>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</si>
  <si>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</si>
  <si>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</si>
  <si>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</si>
  <si>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</si>
  <si>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</si>
  <si>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</si>
  <si>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</si>
  <si>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</si>
  <si>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</si>
  <si>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</si>
  <si>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</si>
  <si>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</si>
  <si>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</si>
  <si>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</si>
  <si>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</si>
  <si>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</si>
  <si>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</si>
  <si>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</si>
  <si>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</si>
  <si>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</si>
  <si>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</si>
  <si>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</si>
  <si>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</si>
  <si>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</si>
  <si>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</si>
  <si>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</si>
  <si>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</si>
  <si>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</si>
  <si>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</si>
  <si>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</si>
  <si>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</si>
  <si>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</si>
  <si>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</si>
  <si>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</si>
  <si>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</si>
  <si>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</si>
  <si>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</si>
  <si>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</si>
  <si>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</si>
  <si>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</si>
  <si>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</si>
  <si>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</si>
  <si>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</si>
  <si>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</si>
  <si>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</si>
  <si>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</si>
  <si>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</si>
  <si>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</si>
  <si>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</si>
  <si>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</si>
  <si>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</si>
  <si>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</si>
  <si>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</si>
  <si>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</si>
  <si>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</si>
  <si>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</si>
  <si>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</si>
  <si>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</si>
  <si>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</si>
  <si>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</si>
  <si>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</si>
  <si>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</si>
  <si>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</si>
  <si>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</si>
  <si>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</si>
  <si>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</si>
  <si>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</si>
  <si>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</si>
  <si>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</si>
  <si>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</si>
  <si>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</si>
  <si>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</si>
  <si>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</si>
  <si>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</si>
  <si>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</si>
  <si>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</si>
  <si>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</si>
  <si>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</si>
  <si>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</si>
  <si>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</si>
  <si>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</si>
  <si>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</si>
  <si>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</si>
  <si>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</si>
  <si>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</si>
  <si>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</si>
  <si>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</si>
  <si>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</si>
  <si>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</si>
  <si>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</si>
  <si>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</si>
  <si>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</si>
  <si>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</si>
  <si>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</si>
  <si>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</si>
  <si>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</si>
  <si>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</si>
  <si>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</si>
  <si>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</si>
  <si>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</si>
  <si>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</si>
  <si>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</si>
  <si>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</si>
  <si>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</si>
  <si>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</si>
  <si>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</si>
  <si>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</si>
  <si>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</si>
  <si>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</si>
  <si>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</si>
  <si>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</si>
  <si>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</si>
  <si>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</si>
  <si>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</si>
  <si>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</si>
  <si>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</si>
  <si>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</si>
  <si>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</si>
  <si>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</si>
  <si>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</si>
  <si>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</si>
  <si>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</si>
  <si>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</si>
  <si>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</si>
  <si>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</si>
  <si>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</si>
  <si>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</si>
  <si>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</si>
  <si>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</si>
  <si>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</si>
  <si>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</si>
  <si>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</si>
  <si>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</si>
  <si>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</si>
  <si>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</si>
  <si>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</si>
  <si>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</si>
  <si>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</si>
  <si>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</si>
  <si>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</si>
  <si>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</si>
  <si>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</si>
  <si>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</si>
  <si>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</si>
  <si>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</si>
  <si>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</si>
  <si>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</si>
  <si>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</si>
  <si>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</si>
  <si>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</si>
  <si>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</si>
  <si>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</si>
  <si>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</si>
  <si>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</si>
  <si>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</si>
  <si>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</si>
  <si>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</si>
  <si>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</si>
  <si>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</si>
  <si>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</si>
  <si>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</si>
  <si>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</si>
  <si>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</si>
  <si>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</si>
  <si>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</si>
  <si>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</si>
  <si>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</si>
  <si>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</si>
  <si>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</si>
  <si>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</si>
  <si>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</si>
  <si>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</si>
  <si>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</si>
  <si>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</si>
  <si>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</si>
  <si>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</si>
  <si>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</si>
  <si>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</si>
  <si>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</si>
  <si>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</si>
  <si>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</si>
  <si>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</si>
  <si>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</si>
  <si>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</si>
  <si>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</si>
  <si>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</si>
  <si>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</si>
  <si>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</si>
  <si>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</si>
  <si>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</si>
  <si>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</si>
  <si>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</si>
  <si>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</si>
  <si>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</si>
  <si>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</si>
  <si>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</si>
  <si>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</si>
  <si>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</si>
  <si>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</si>
  <si>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</si>
  <si>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</si>
  <si>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</si>
  <si>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</si>
  <si>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</si>
  <si>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</si>
  <si>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</si>
  <si>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</si>
  <si>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</si>
  <si>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</si>
  <si>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</si>
  <si>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</si>
  <si>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</si>
  <si>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</si>
  <si>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</si>
  <si>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</si>
  <si>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</si>
  <si>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</si>
  <si>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</si>
  <si>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</si>
  <si>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</si>
  <si>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</si>
  <si>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</si>
  <si>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</si>
  <si>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</si>
  <si>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</si>
  <si>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</si>
  <si>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</si>
  <si>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</si>
  <si>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</si>
  <si>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</si>
  <si>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</si>
  <si>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</si>
  <si>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</si>
  <si>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</si>
  <si>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</si>
  <si>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</si>
  <si>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</si>
  <si>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</si>
  <si>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</si>
  <si>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</si>
  <si>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</si>
  <si>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</si>
  <si>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</si>
  <si>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</si>
  <si>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</si>
  <si>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</si>
  <si>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</si>
  <si>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</si>
  <si>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</si>
  <si>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</si>
  <si>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</si>
  <si>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</si>
  <si>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</si>
  <si>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</si>
  <si>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</si>
  <si>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</si>
  <si>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</si>
  <si>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</si>
  <si>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</si>
  <si>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</si>
  <si>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</si>
  <si>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</si>
  <si>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</si>
  <si>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</si>
  <si>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</si>
  <si>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</si>
  <si>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</si>
  <si>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</si>
  <si>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</si>
  <si>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</si>
  <si>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</si>
  <si>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</si>
  <si>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</si>
  <si>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</si>
  <si>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</si>
  <si>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</si>
  <si>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</si>
  <si>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</si>
  <si>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</si>
  <si>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</si>
  <si>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</si>
  <si>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</si>
  <si>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</si>
  <si>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</si>
  <si>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</si>
  <si>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</si>
  <si>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</si>
  <si>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</si>
  <si>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</si>
  <si>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</si>
  <si>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</si>
  <si>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</si>
  <si>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</si>
  <si>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</si>
  <si>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</si>
  <si>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</si>
  <si>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</si>
  <si>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</si>
  <si>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</si>
  <si>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</si>
  <si>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</si>
  <si>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</si>
  <si>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</si>
  <si>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</si>
  <si>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</si>
  <si>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</si>
  <si>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</si>
  <si>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</si>
  <si>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</si>
  <si>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</si>
  <si>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</si>
  <si>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</si>
  <si>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</si>
  <si>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</si>
  <si>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</si>
  <si>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</si>
  <si>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</si>
  <si>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</si>
  <si>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</si>
  <si>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</si>
  <si>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</si>
  <si>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</si>
  <si>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</si>
  <si>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</si>
  <si>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</si>
  <si>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</si>
  <si>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</si>
  <si>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</si>
  <si>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</si>
  <si>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</si>
  <si>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</si>
  <si>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</si>
  <si>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</si>
  <si>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</si>
  <si>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</si>
  <si>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</si>
  <si>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</si>
  <si>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</si>
  <si>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</si>
  <si>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</si>
  <si>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</si>
  <si>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</si>
  <si>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</si>
  <si>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</si>
  <si>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</si>
  <si>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</si>
  <si>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</si>
  <si>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</si>
  <si>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</si>
  <si>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</si>
  <si>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</si>
  <si>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</si>
  <si>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</si>
  <si>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</si>
  <si>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</si>
  <si>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</si>
  <si>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</si>
  <si>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</si>
  <si>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</si>
  <si>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</si>
  <si>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</si>
  <si>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</si>
  <si>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</si>
  <si>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</si>
  <si>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</si>
  <si>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</si>
  <si>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</si>
  <si>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</si>
  <si>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</si>
  <si>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</si>
  <si>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</si>
  <si>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</si>
  <si>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</si>
  <si>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</si>
  <si>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</si>
  <si>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</si>
  <si>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</si>
  <si>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</si>
  <si>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</si>
  <si>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</si>
  <si>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</si>
  <si>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</si>
  <si>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</si>
  <si>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</si>
  <si>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</si>
  <si>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</si>
  <si>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</si>
  <si>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</si>
  <si>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</si>
  <si>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</si>
  <si>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</si>
  <si>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</si>
  <si>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</si>
  <si>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</si>
  <si>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</si>
  <si>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</si>
  <si>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</si>
  <si>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</si>
  <si>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</si>
  <si>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</si>
  <si>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</si>
  <si>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</si>
  <si>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</si>
  <si>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</si>
  <si>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</si>
  <si>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</si>
  <si>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This was Pior Year Encumbrances for FY1516 added back to beginning fund balance per auditor</t>
  </si>
  <si>
    <t>08/03</t>
  </si>
  <si>
    <t>08/17</t>
  </si>
  <si>
    <t>Chichester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</si>
</sst>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activeCell="I576" sqref="I576"/>
      <selection pane="topRight" activeCell="I576" sqref="I576"/>
      <selection pane="bottomLeft" activeCell="I576" sqref="I576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99</v>
      </c>
      <c r="C2" s="21">
        <v>99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266165.15000000002</v>
      </c>
      <c r="G9" s="18">
        <v>0</v>
      </c>
      <c r="H9" s="18">
        <v>1985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83794.11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19399.97</v>
      </c>
      <c r="G12" s="18">
        <v>0</v>
      </c>
      <c r="H12" s="18">
        <v>0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21468.39</v>
      </c>
      <c r="G13" s="18">
        <v>2244.4699999999998</v>
      </c>
      <c r="H13" s="18">
        <v>14805.4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5774.86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307033.51</v>
      </c>
      <c r="G19" s="41">
        <f>SUM(G9:G18)</f>
        <v>8019.33</v>
      </c>
      <c r="H19" s="41">
        <f>SUM(H9:H18)</f>
        <v>16790.400000000001</v>
      </c>
      <c r="I19" s="41">
        <f>SUM(I9:I18)</f>
        <v>0</v>
      </c>
      <c r="J19" s="41">
        <f>SUM(J9:J18)</f>
        <v>83794.11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7634.72</v>
      </c>
      <c r="H22" s="18">
        <v>1055.1500000000001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110491.88</v>
      </c>
      <c r="G23" s="18">
        <v>175.43</v>
      </c>
      <c r="H23" s="18">
        <v>13750.25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7043.38</v>
      </c>
      <c r="G24" s="18">
        <v>209.18</v>
      </c>
      <c r="H24" s="18">
        <v>0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0</v>
      </c>
      <c r="G29" s="18"/>
      <c r="H29" s="18">
        <v>0</v>
      </c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/>
      <c r="H30" s="18">
        <v>0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17656.23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135191.49000000002</v>
      </c>
      <c r="G32" s="41">
        <f>SUM(G22:G31)</f>
        <v>8019.3300000000008</v>
      </c>
      <c r="H32" s="41">
        <f>SUM(H22:H31)</f>
        <v>14805.4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68837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0</v>
      </c>
      <c r="H48" s="18"/>
      <c r="I48" s="18"/>
      <c r="J48" s="13">
        <f>SUM(I459)</f>
        <v>83794.11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28005.02</v>
      </c>
      <c r="G49" s="18">
        <v>0</v>
      </c>
      <c r="H49" s="18">
        <v>1985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75000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171842.02000000002</v>
      </c>
      <c r="G51" s="41">
        <f>SUM(G35:G50)</f>
        <v>0</v>
      </c>
      <c r="H51" s="41">
        <f>SUM(H35:H50)</f>
        <v>1985</v>
      </c>
      <c r="I51" s="41">
        <f>SUM(I35:I50)</f>
        <v>0</v>
      </c>
      <c r="J51" s="41">
        <f>SUM(J35:J50)</f>
        <v>83794.11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307033.51</v>
      </c>
      <c r="G52" s="41">
        <f>G51+G32</f>
        <v>8019.3300000000008</v>
      </c>
      <c r="H52" s="41">
        <f>H51+H32</f>
        <v>16790.400000000001</v>
      </c>
      <c r="I52" s="41">
        <f>I51+I32</f>
        <v>0</v>
      </c>
      <c r="J52" s="41">
        <f>J51+J32</f>
        <v>83794.11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4256234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4256234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0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802.99</v>
      </c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802.99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353.21</v>
      </c>
      <c r="G96" s="18"/>
      <c r="H96" s="18"/>
      <c r="I96" s="18"/>
      <c r="J96" s="18">
        <v>462.41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51812.18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>
        <v>0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25333.1</v>
      </c>
      <c r="G102" s="18"/>
      <c r="H102" s="18">
        <v>7500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0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-439.56</v>
      </c>
      <c r="G110" s="18">
        <v>785.95</v>
      </c>
      <c r="H110" s="18"/>
      <c r="I110" s="18"/>
      <c r="J110" s="18">
        <v>1086.5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25246.749999999996</v>
      </c>
      <c r="G111" s="41">
        <f>SUM(G96:G110)</f>
        <v>52598.13</v>
      </c>
      <c r="H111" s="41">
        <f>SUM(H96:H110)</f>
        <v>7500</v>
      </c>
      <c r="I111" s="41">
        <f>SUM(I96:I110)</f>
        <v>0</v>
      </c>
      <c r="J111" s="41">
        <f>SUM(J96:J110)</f>
        <v>1548.91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4282283.74</v>
      </c>
      <c r="G112" s="41">
        <f>G60+G111</f>
        <v>52598.13</v>
      </c>
      <c r="H112" s="41">
        <f>H60+H79+H94+H111</f>
        <v>7500</v>
      </c>
      <c r="I112" s="41">
        <f>I60+I111</f>
        <v>0</v>
      </c>
      <c r="J112" s="41">
        <f>J60+J111</f>
        <v>1548.91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839871.09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605538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1445409.0899999999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26016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68840.289999999994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1180.07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94856.29</v>
      </c>
      <c r="G136" s="41">
        <f>SUM(G123:G135)</f>
        <v>1180.07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1540265.38</v>
      </c>
      <c r="G140" s="41">
        <f>G121+SUM(G136:G137)</f>
        <v>1180.07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22457.43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26942.49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27018.47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50169.99</v>
      </c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35420.959999999999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0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85590.95</v>
      </c>
      <c r="G162" s="41">
        <f>SUM(G150:G161)</f>
        <v>27018.47</v>
      </c>
      <c r="H162" s="41">
        <f>SUM(H150:H161)</f>
        <v>49399.92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85590.95</v>
      </c>
      <c r="G169" s="41">
        <f>G147+G162+SUM(G163:G168)</f>
        <v>27018.47</v>
      </c>
      <c r="H169" s="41">
        <f>H147+H162+SUM(H163:H168)</f>
        <v>49399.92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8844.4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8844.4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8844.4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5908140.0700000003</v>
      </c>
      <c r="G193" s="47">
        <f>G112+G140+G169+G192</f>
        <v>89641.069999999992</v>
      </c>
      <c r="H193" s="47">
        <f>H112+H140+H169+H192</f>
        <v>56899.92</v>
      </c>
      <c r="I193" s="47">
        <f>I112+I140+I169+I192</f>
        <v>0</v>
      </c>
      <c r="J193" s="47">
        <f>J112+J140+J192</f>
        <v>1548.91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1116572.54</v>
      </c>
      <c r="G197" s="18">
        <v>589043.96</v>
      </c>
      <c r="H197" s="18">
        <v>25913.69</v>
      </c>
      <c r="I197" s="18">
        <v>34299.1</v>
      </c>
      <c r="J197" s="18">
        <v>175.64</v>
      </c>
      <c r="K197" s="18"/>
      <c r="L197" s="19">
        <f>SUM(F197:K197)</f>
        <v>1766004.93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418343.55</v>
      </c>
      <c r="G198" s="18">
        <v>220695.69</v>
      </c>
      <c r="H198" s="18">
        <v>251962.39</v>
      </c>
      <c r="I198" s="18">
        <v>812.9</v>
      </c>
      <c r="J198" s="18">
        <v>1296.6600000000001</v>
      </c>
      <c r="K198" s="18">
        <v>895</v>
      </c>
      <c r="L198" s="19">
        <f>SUM(F198:K198)</f>
        <v>894006.19000000006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23350</v>
      </c>
      <c r="G200" s="18">
        <v>12318.21</v>
      </c>
      <c r="H200" s="18">
        <v>3017.33</v>
      </c>
      <c r="I200" s="18">
        <v>1378.2</v>
      </c>
      <c r="J200" s="18"/>
      <c r="K200" s="18">
        <v>3405</v>
      </c>
      <c r="L200" s="19">
        <f>SUM(F200:K200)</f>
        <v>43468.74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111055</v>
      </c>
      <c r="G202" s="18">
        <v>58586.68</v>
      </c>
      <c r="H202" s="18">
        <v>103065.53</v>
      </c>
      <c r="I202" s="18">
        <v>2116.06</v>
      </c>
      <c r="J202" s="18">
        <v>0</v>
      </c>
      <c r="K202" s="18">
        <v>2339.5</v>
      </c>
      <c r="L202" s="19">
        <f t="shared" ref="L202:L208" si="0">SUM(F202:K202)</f>
        <v>277162.76999999996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78313.3</v>
      </c>
      <c r="G203" s="18">
        <v>41313.910000000003</v>
      </c>
      <c r="H203" s="18">
        <v>11342.41</v>
      </c>
      <c r="I203" s="18">
        <v>1795.03</v>
      </c>
      <c r="J203" s="18">
        <v>0</v>
      </c>
      <c r="K203" s="18"/>
      <c r="L203" s="19">
        <f t="shared" si="0"/>
        <v>132764.65000000002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3097.5</v>
      </c>
      <c r="G204" s="18">
        <v>1634.08</v>
      </c>
      <c r="H204" s="18">
        <v>161704.98000000001</v>
      </c>
      <c r="I204" s="18">
        <v>482.98</v>
      </c>
      <c r="J204" s="18"/>
      <c r="K204" s="18">
        <v>3295.99</v>
      </c>
      <c r="L204" s="19">
        <f t="shared" si="0"/>
        <v>170215.53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114863.3</v>
      </c>
      <c r="G205" s="18">
        <v>60595.73</v>
      </c>
      <c r="H205" s="18">
        <v>11534.55</v>
      </c>
      <c r="I205" s="18">
        <v>657.47</v>
      </c>
      <c r="J205" s="18">
        <v>1516.62</v>
      </c>
      <c r="K205" s="18">
        <v>864</v>
      </c>
      <c r="L205" s="19">
        <f t="shared" si="0"/>
        <v>190031.66999999998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89297.84</v>
      </c>
      <c r="G207" s="18">
        <v>47108.76</v>
      </c>
      <c r="H207" s="18">
        <v>25946.27</v>
      </c>
      <c r="I207" s="18">
        <v>72685.75</v>
      </c>
      <c r="J207" s="18">
        <v>2452.21</v>
      </c>
      <c r="K207" s="18"/>
      <c r="L207" s="19">
        <f t="shared" si="0"/>
        <v>237490.83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251105.17</v>
      </c>
      <c r="I208" s="18"/>
      <c r="J208" s="18"/>
      <c r="K208" s="18"/>
      <c r="L208" s="19">
        <f t="shared" si="0"/>
        <v>251105.17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1954893.0300000003</v>
      </c>
      <c r="G211" s="41">
        <f t="shared" si="1"/>
        <v>1031297.0199999999</v>
      </c>
      <c r="H211" s="41">
        <f t="shared" si="1"/>
        <v>845592.32000000018</v>
      </c>
      <c r="I211" s="41">
        <f t="shared" si="1"/>
        <v>114227.48999999999</v>
      </c>
      <c r="J211" s="41">
        <f t="shared" si="1"/>
        <v>5441.13</v>
      </c>
      <c r="K211" s="41">
        <f t="shared" si="1"/>
        <v>10799.49</v>
      </c>
      <c r="L211" s="41">
        <f t="shared" si="1"/>
        <v>3962250.48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1379288.18</v>
      </c>
      <c r="I233" s="18"/>
      <c r="J233" s="18"/>
      <c r="K233" s="18"/>
      <c r="L233" s="19">
        <f>SUM(F233:K233)</f>
        <v>1379288.18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256325.09</v>
      </c>
      <c r="I234" s="18"/>
      <c r="J234" s="18"/>
      <c r="K234" s="18"/>
      <c r="L234" s="19">
        <f>SUM(F234:K234)</f>
        <v>256325.09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28353.07</v>
      </c>
      <c r="I238" s="18"/>
      <c r="J238" s="18"/>
      <c r="K238" s="18"/>
      <c r="L238" s="19">
        <f t="shared" ref="L238:L244" si="4">SUM(F238:K238)</f>
        <v>28353.07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83363.320000000007</v>
      </c>
      <c r="I244" s="18"/>
      <c r="J244" s="18"/>
      <c r="K244" s="18"/>
      <c r="L244" s="19">
        <f t="shared" si="4"/>
        <v>83363.320000000007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1747329.6600000001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1747329.6600000001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1954893.0300000003</v>
      </c>
      <c r="G257" s="41">
        <f t="shared" si="8"/>
        <v>1031297.0199999999</v>
      </c>
      <c r="H257" s="41">
        <f t="shared" si="8"/>
        <v>2592921.9800000004</v>
      </c>
      <c r="I257" s="41">
        <f t="shared" si="8"/>
        <v>114227.48999999999</v>
      </c>
      <c r="J257" s="41">
        <f t="shared" si="8"/>
        <v>5441.13</v>
      </c>
      <c r="K257" s="41">
        <f t="shared" si="8"/>
        <v>10799.49</v>
      </c>
      <c r="L257" s="41">
        <f t="shared" si="8"/>
        <v>5709580.1400000006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105000</v>
      </c>
      <c r="L260" s="19">
        <f>SUM(F260:K260)</f>
        <v>105000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3089.5</v>
      </c>
      <c r="L261" s="19">
        <f>SUM(F261:K261)</f>
        <v>3089.5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8844.4</v>
      </c>
      <c r="L263" s="19">
        <f>SUM(F263:K263)</f>
        <v>8844.4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14565.25</v>
      </c>
      <c r="L268" s="19">
        <f t="shared" si="9"/>
        <v>14565.25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131499.15</v>
      </c>
      <c r="L270" s="41">
        <f t="shared" si="9"/>
        <v>131499.15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1954893.0300000003</v>
      </c>
      <c r="G271" s="42">
        <f t="shared" si="11"/>
        <v>1031297.0199999999</v>
      </c>
      <c r="H271" s="42">
        <f t="shared" si="11"/>
        <v>2592921.9800000004</v>
      </c>
      <c r="I271" s="42">
        <f t="shared" si="11"/>
        <v>114227.48999999999</v>
      </c>
      <c r="J271" s="42">
        <f t="shared" si="11"/>
        <v>5441.13</v>
      </c>
      <c r="K271" s="42">
        <f t="shared" si="11"/>
        <v>142298.63999999998</v>
      </c>
      <c r="L271" s="42">
        <f t="shared" si="11"/>
        <v>5841079.290000001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25544.66</v>
      </c>
      <c r="G276" s="18">
        <v>2238.1999999999998</v>
      </c>
      <c r="H276" s="18">
        <v>0</v>
      </c>
      <c r="I276" s="18">
        <v>9722.25</v>
      </c>
      <c r="J276" s="18">
        <v>8440.2999999999993</v>
      </c>
      <c r="K276" s="18"/>
      <c r="L276" s="19">
        <f>SUM(F276:K276)</f>
        <v>45945.41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>
        <v>5515</v>
      </c>
      <c r="K279" s="18"/>
      <c r="L279" s="19">
        <f>SUM(F279:K279)</f>
        <v>5515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0</v>
      </c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0</v>
      </c>
      <c r="G282" s="18">
        <v>0</v>
      </c>
      <c r="H282" s="18">
        <v>2087.29</v>
      </c>
      <c r="I282" s="18"/>
      <c r="J282" s="18"/>
      <c r="K282" s="18"/>
      <c r="L282" s="19">
        <f t="shared" si="12"/>
        <v>2087.29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>
        <v>0</v>
      </c>
      <c r="I283" s="18"/>
      <c r="J283" s="18"/>
      <c r="K283" s="18">
        <v>1367.22</v>
      </c>
      <c r="L283" s="19">
        <f t="shared" si="12"/>
        <v>1367.22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/>
      <c r="I284" s="18"/>
      <c r="J284" s="18">
        <v>0</v>
      </c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25544.66</v>
      </c>
      <c r="G290" s="42">
        <f t="shared" si="13"/>
        <v>2238.1999999999998</v>
      </c>
      <c r="H290" s="42">
        <f t="shared" si="13"/>
        <v>2087.29</v>
      </c>
      <c r="I290" s="42">
        <f t="shared" si="13"/>
        <v>9722.25</v>
      </c>
      <c r="J290" s="42">
        <f t="shared" si="13"/>
        <v>13955.3</v>
      </c>
      <c r="K290" s="42">
        <f t="shared" si="13"/>
        <v>1367.22</v>
      </c>
      <c r="L290" s="41">
        <f t="shared" si="13"/>
        <v>54914.920000000006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25544.66</v>
      </c>
      <c r="G338" s="41">
        <f t="shared" si="20"/>
        <v>2238.1999999999998</v>
      </c>
      <c r="H338" s="41">
        <f t="shared" si="20"/>
        <v>2087.29</v>
      </c>
      <c r="I338" s="41">
        <f t="shared" si="20"/>
        <v>9722.25</v>
      </c>
      <c r="J338" s="41">
        <f t="shared" si="20"/>
        <v>13955.3</v>
      </c>
      <c r="K338" s="41">
        <f t="shared" si="20"/>
        <v>1367.22</v>
      </c>
      <c r="L338" s="41">
        <f t="shared" si="20"/>
        <v>54914.920000000006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25544.66</v>
      </c>
      <c r="G352" s="41">
        <f>G338</f>
        <v>2238.1999999999998</v>
      </c>
      <c r="H352" s="41">
        <f>H338</f>
        <v>2087.29</v>
      </c>
      <c r="I352" s="41">
        <f>I338</f>
        <v>9722.25</v>
      </c>
      <c r="J352" s="41">
        <f>J338</f>
        <v>13955.3</v>
      </c>
      <c r="K352" s="47">
        <f>K338+K351</f>
        <v>1367.22</v>
      </c>
      <c r="L352" s="41">
        <f>L338+L351</f>
        <v>54914.920000000006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55614.22</v>
      </c>
      <c r="G358" s="18">
        <v>9918.43</v>
      </c>
      <c r="H358" s="18">
        <v>3653.02</v>
      </c>
      <c r="I358" s="18">
        <v>29497.4</v>
      </c>
      <c r="J358" s="18">
        <v>2110</v>
      </c>
      <c r="K358" s="18">
        <v>0</v>
      </c>
      <c r="L358" s="13">
        <f>SUM(F358:K358)</f>
        <v>100793.07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55614.22</v>
      </c>
      <c r="G362" s="47">
        <f t="shared" si="22"/>
        <v>9918.43</v>
      </c>
      <c r="H362" s="47">
        <f t="shared" si="22"/>
        <v>3653.02</v>
      </c>
      <c r="I362" s="47">
        <f t="shared" si="22"/>
        <v>29497.4</v>
      </c>
      <c r="J362" s="47">
        <f t="shared" si="22"/>
        <v>2110</v>
      </c>
      <c r="K362" s="47">
        <f t="shared" si="22"/>
        <v>0</v>
      </c>
      <c r="L362" s="47">
        <f t="shared" si="22"/>
        <v>100793.07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28360.71</v>
      </c>
      <c r="G367" s="18"/>
      <c r="H367" s="18"/>
      <c r="I367" s="56">
        <f>SUM(F367:H367)</f>
        <v>28360.71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1136.69</v>
      </c>
      <c r="G368" s="63"/>
      <c r="H368" s="63"/>
      <c r="I368" s="56">
        <f>SUM(F368:H368)</f>
        <v>1136.69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29497.399999999998</v>
      </c>
      <c r="G369" s="47">
        <f>SUM(G367:G368)</f>
        <v>0</v>
      </c>
      <c r="H369" s="47">
        <f>SUM(H367:H368)</f>
        <v>0</v>
      </c>
      <c r="I369" s="47">
        <f>SUM(I367:I368)</f>
        <v>29497.399999999998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266.94</v>
      </c>
      <c r="I396" s="18">
        <v>627.24</v>
      </c>
      <c r="J396" s="24" t="s">
        <v>288</v>
      </c>
      <c r="K396" s="24" t="s">
        <v>288</v>
      </c>
      <c r="L396" s="56">
        <f t="shared" si="26"/>
        <v>894.18000000000006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81.400000000000006</v>
      </c>
      <c r="I397" s="18">
        <v>191.27</v>
      </c>
      <c r="J397" s="24" t="s">
        <v>288</v>
      </c>
      <c r="K397" s="24" t="s">
        <v>288</v>
      </c>
      <c r="L397" s="56">
        <f t="shared" si="26"/>
        <v>272.67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114.07</v>
      </c>
      <c r="I399" s="18">
        <v>267.99</v>
      </c>
      <c r="J399" s="24" t="s">
        <v>288</v>
      </c>
      <c r="K399" s="24" t="s">
        <v>288</v>
      </c>
      <c r="L399" s="56">
        <f t="shared" si="26"/>
        <v>382.06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462.41</v>
      </c>
      <c r="I401" s="47">
        <f>SUM(I395:I400)</f>
        <v>1086.5</v>
      </c>
      <c r="J401" s="45" t="s">
        <v>288</v>
      </c>
      <c r="K401" s="45" t="s">
        <v>288</v>
      </c>
      <c r="L401" s="47">
        <f>SUM(L395:L400)</f>
        <v>1548.91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462.41</v>
      </c>
      <c r="I408" s="47">
        <f>I393+I401+I407</f>
        <v>1086.5</v>
      </c>
      <c r="J408" s="24" t="s">
        <v>288</v>
      </c>
      <c r="K408" s="24" t="s">
        <v>288</v>
      </c>
      <c r="L408" s="47">
        <f>L393+L401+L407</f>
        <v>1548.91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83794.11</v>
      </c>
      <c r="H440" s="18"/>
      <c r="I440" s="56">
        <f t="shared" si="33"/>
        <v>83794.11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83794.11</v>
      </c>
      <c r="H446" s="13">
        <f>SUM(H439:H445)</f>
        <v>0</v>
      </c>
      <c r="I446" s="13">
        <f>SUM(I439:I445)</f>
        <v>83794.11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83794.11</v>
      </c>
      <c r="H459" s="18"/>
      <c r="I459" s="56">
        <f t="shared" si="34"/>
        <v>83794.11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83794.11</v>
      </c>
      <c r="H460" s="83">
        <f>SUM(H454:H459)</f>
        <v>0</v>
      </c>
      <c r="I460" s="83">
        <f>SUM(I454:I459)</f>
        <v>83794.11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83794.11</v>
      </c>
      <c r="H461" s="42">
        <f>H452+H460</f>
        <v>0</v>
      </c>
      <c r="I461" s="42">
        <f>I452+I460</f>
        <v>83794.11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116921.47</v>
      </c>
      <c r="G465" s="18">
        <v>11152</v>
      </c>
      <c r="H465" s="18"/>
      <c r="I465" s="18"/>
      <c r="J465" s="18">
        <v>82245.2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5908140.0700000003</v>
      </c>
      <c r="G468" s="18">
        <v>89641.07</v>
      </c>
      <c r="H468" s="18">
        <v>56899.92</v>
      </c>
      <c r="I468" s="18"/>
      <c r="J468" s="18">
        <v>1548.91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5908140.0700000003</v>
      </c>
      <c r="G470" s="53">
        <f>SUM(G468:G469)</f>
        <v>89641.07</v>
      </c>
      <c r="H470" s="53">
        <f>SUM(H468:H469)</f>
        <v>56899.92</v>
      </c>
      <c r="I470" s="53">
        <f>SUM(I468:I469)</f>
        <v>0</v>
      </c>
      <c r="J470" s="53">
        <f>SUM(J468:J469)</f>
        <v>1548.91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5841079.29</v>
      </c>
      <c r="G472" s="18">
        <v>100793.07</v>
      </c>
      <c r="H472" s="18">
        <v>54914.92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12140.23</v>
      </c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5853219.5200000005</v>
      </c>
      <c r="G474" s="53">
        <f>SUM(G472:G473)</f>
        <v>100793.07</v>
      </c>
      <c r="H474" s="53">
        <f>SUM(H472:H473)</f>
        <v>54914.92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171842.01999999955</v>
      </c>
      <c r="G476" s="53">
        <f>(G465+G470)- G474</f>
        <v>0</v>
      </c>
      <c r="H476" s="53">
        <f>(H465+H470)- H474</f>
        <v>1985</v>
      </c>
      <c r="I476" s="53">
        <f>(I465+I470)- I474</f>
        <v>0</v>
      </c>
      <c r="J476" s="53">
        <f>(J465+J470)- J474</f>
        <v>83794.11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15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1600000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4.08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210000</v>
      </c>
      <c r="G495" s="18"/>
      <c r="H495" s="18"/>
      <c r="I495" s="18"/>
      <c r="J495" s="18"/>
      <c r="K495" s="53">
        <f>SUM(F495:J495)</f>
        <v>210000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105000</v>
      </c>
      <c r="G497" s="18"/>
      <c r="H497" s="18"/>
      <c r="I497" s="18"/>
      <c r="J497" s="18"/>
      <c r="K497" s="53">
        <f t="shared" si="35"/>
        <v>105000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105000</v>
      </c>
      <c r="G501" s="204"/>
      <c r="H501" s="204"/>
      <c r="I501" s="204"/>
      <c r="J501" s="204"/>
      <c r="K501" s="205">
        <f t="shared" si="35"/>
        <v>105000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105000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105000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418343.55</v>
      </c>
      <c r="G521" s="18">
        <v>220695.69</v>
      </c>
      <c r="H521" s="18">
        <v>251962.39</v>
      </c>
      <c r="I521" s="18">
        <v>812.9</v>
      </c>
      <c r="J521" s="18">
        <v>1296.6600000000001</v>
      </c>
      <c r="K521" s="18">
        <v>895</v>
      </c>
      <c r="L521" s="88">
        <f>SUM(F521:K521)</f>
        <v>894006.19000000006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256325.09</v>
      </c>
      <c r="I523" s="18"/>
      <c r="J523" s="18"/>
      <c r="K523" s="18"/>
      <c r="L523" s="88">
        <f>SUM(F523:K523)</f>
        <v>256325.09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418343.55</v>
      </c>
      <c r="G524" s="108">
        <f t="shared" ref="G524:L524" si="36">SUM(G521:G523)</f>
        <v>220695.69</v>
      </c>
      <c r="H524" s="108">
        <f t="shared" si="36"/>
        <v>508287.48</v>
      </c>
      <c r="I524" s="108">
        <f t="shared" si="36"/>
        <v>812.9</v>
      </c>
      <c r="J524" s="108">
        <f t="shared" si="36"/>
        <v>1296.6600000000001</v>
      </c>
      <c r="K524" s="108">
        <f t="shared" si="36"/>
        <v>895</v>
      </c>
      <c r="L524" s="89">
        <f t="shared" si="36"/>
        <v>1150331.28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103065.53</v>
      </c>
      <c r="I526" s="18"/>
      <c r="J526" s="18"/>
      <c r="K526" s="18"/>
      <c r="L526" s="88">
        <f>SUM(F526:K526)</f>
        <v>103065.53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28353.07</v>
      </c>
      <c r="I528" s="18"/>
      <c r="J528" s="18"/>
      <c r="K528" s="18"/>
      <c r="L528" s="88">
        <f>SUM(F528:K528)</f>
        <v>28353.07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131418.6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131418.6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7860.48</v>
      </c>
      <c r="G531" s="18">
        <v>3824.12</v>
      </c>
      <c r="H531" s="18"/>
      <c r="I531" s="18"/>
      <c r="J531" s="18"/>
      <c r="K531" s="18"/>
      <c r="L531" s="88">
        <f>SUM(F531:K531)</f>
        <v>11684.599999999999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1965.12</v>
      </c>
      <c r="G533" s="18">
        <v>956.03</v>
      </c>
      <c r="H533" s="18"/>
      <c r="I533" s="18"/>
      <c r="J533" s="18"/>
      <c r="K533" s="18"/>
      <c r="L533" s="88">
        <f>SUM(F533:K533)</f>
        <v>2921.1499999999996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9825.5999999999985</v>
      </c>
      <c r="G534" s="89">
        <f t="shared" ref="G534:L534" si="38">SUM(G531:G533)</f>
        <v>4780.1499999999996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14605.749999999998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101418.4</v>
      </c>
      <c r="I541" s="18"/>
      <c r="J541" s="18"/>
      <c r="K541" s="18"/>
      <c r="L541" s="88">
        <f>SUM(F541:K541)</f>
        <v>101418.4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101418.4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101418.4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428169.14999999997</v>
      </c>
      <c r="G545" s="89">
        <f t="shared" ref="G545:L545" si="41">G524+G529+G534+G539+G544</f>
        <v>225475.84</v>
      </c>
      <c r="H545" s="89">
        <f t="shared" si="41"/>
        <v>741124.48</v>
      </c>
      <c r="I545" s="89">
        <f t="shared" si="41"/>
        <v>812.9</v>
      </c>
      <c r="J545" s="89">
        <f t="shared" si="41"/>
        <v>1296.6600000000001</v>
      </c>
      <c r="K545" s="89">
        <f t="shared" si="41"/>
        <v>895</v>
      </c>
      <c r="L545" s="89">
        <f t="shared" si="41"/>
        <v>1397774.03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894006.19000000006</v>
      </c>
      <c r="G549" s="87">
        <f>L526</f>
        <v>103065.53</v>
      </c>
      <c r="H549" s="87">
        <f>L531</f>
        <v>11684.599999999999</v>
      </c>
      <c r="I549" s="87">
        <f>L536</f>
        <v>0</v>
      </c>
      <c r="J549" s="87">
        <f>L541</f>
        <v>101418.4</v>
      </c>
      <c r="K549" s="87">
        <f>SUM(F549:J549)</f>
        <v>1110174.72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256325.09</v>
      </c>
      <c r="G551" s="87">
        <f>L528</f>
        <v>28353.07</v>
      </c>
      <c r="H551" s="87">
        <f>L533</f>
        <v>2921.1499999999996</v>
      </c>
      <c r="I551" s="87">
        <f>L538</f>
        <v>0</v>
      </c>
      <c r="J551" s="87">
        <f>L543</f>
        <v>0</v>
      </c>
      <c r="K551" s="87">
        <f>SUM(F551:J551)</f>
        <v>287599.31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1150331.28</v>
      </c>
      <c r="G552" s="89">
        <f t="shared" si="42"/>
        <v>131418.6</v>
      </c>
      <c r="H552" s="89">
        <f t="shared" si="42"/>
        <v>14605.749999999998</v>
      </c>
      <c r="I552" s="89">
        <f t="shared" si="42"/>
        <v>0</v>
      </c>
      <c r="J552" s="89">
        <f t="shared" si="42"/>
        <v>101418.4</v>
      </c>
      <c r="K552" s="89">
        <f t="shared" si="42"/>
        <v>1397774.03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>
        <v>20353.62</v>
      </c>
      <c r="I562" s="18"/>
      <c r="J562" s="18"/>
      <c r="K562" s="18"/>
      <c r="L562" s="88">
        <f>SUM(F562:K562)</f>
        <v>20353.62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20353.62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20353.62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20353.62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20353.62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1379288.18</v>
      </c>
      <c r="I575" s="87">
        <f>SUM(F575:H575)</f>
        <v>1379288.18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128456.05</v>
      </c>
      <c r="G579" s="18"/>
      <c r="H579" s="18">
        <v>189302.43</v>
      </c>
      <c r="I579" s="87">
        <f t="shared" si="47"/>
        <v>317758.48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>
        <v>58211.56</v>
      </c>
      <c r="I580" s="87">
        <f t="shared" si="47"/>
        <v>58211.56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506</v>
      </c>
      <c r="G582" s="18"/>
      <c r="H582" s="18"/>
      <c r="I582" s="87">
        <f t="shared" si="47"/>
        <v>506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180154.03</v>
      </c>
      <c r="I591" s="18"/>
      <c r="J591" s="18">
        <v>46108.800000000003</v>
      </c>
      <c r="K591" s="104">
        <f t="shared" ref="K591:K597" si="48">SUM(H591:J591)</f>
        <v>226262.83000000002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64163.88</v>
      </c>
      <c r="I592" s="18"/>
      <c r="J592" s="18">
        <v>37254.519999999997</v>
      </c>
      <c r="K592" s="104">
        <f t="shared" si="48"/>
        <v>101418.4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3568.08</v>
      </c>
      <c r="I594" s="18"/>
      <c r="J594" s="18"/>
      <c r="K594" s="104">
        <f t="shared" si="48"/>
        <v>3568.08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3219.18</v>
      </c>
      <c r="I595" s="18"/>
      <c r="J595" s="18"/>
      <c r="K595" s="104">
        <f t="shared" si="48"/>
        <v>3219.18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251105.16999999998</v>
      </c>
      <c r="I598" s="108">
        <f>SUM(I591:I597)</f>
        <v>0</v>
      </c>
      <c r="J598" s="108">
        <f>SUM(J591:J597)</f>
        <v>83363.320000000007</v>
      </c>
      <c r="K598" s="108">
        <f>SUM(K591:K597)</f>
        <v>334468.49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19396.43</v>
      </c>
      <c r="I604" s="18"/>
      <c r="J604" s="18"/>
      <c r="K604" s="104">
        <f>SUM(H604:J604)</f>
        <v>19396.43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19396.43</v>
      </c>
      <c r="I605" s="108">
        <f>SUM(I602:I604)</f>
        <v>0</v>
      </c>
      <c r="J605" s="108">
        <f>SUM(J602:J604)</f>
        <v>0</v>
      </c>
      <c r="K605" s="108">
        <f>SUM(K602:K604)</f>
        <v>19396.43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307033.51</v>
      </c>
      <c r="H617" s="109">
        <f>SUM(F52)</f>
        <v>307033.51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8019.33</v>
      </c>
      <c r="H618" s="109">
        <f>SUM(G52)</f>
        <v>8019.3300000000008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16790.400000000001</v>
      </c>
      <c r="H619" s="109">
        <f>SUM(H52)</f>
        <v>16790.400000000001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83794.11</v>
      </c>
      <c r="H621" s="109">
        <f>SUM(J52)</f>
        <v>83794.11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171842.02000000002</v>
      </c>
      <c r="H622" s="109">
        <f>F476</f>
        <v>171842.01999999955</v>
      </c>
      <c r="I622" s="121" t="s">
        <v>101</v>
      </c>
      <c r="J622" s="109">
        <f t="shared" ref="J622:J655" si="50">G622-H622</f>
        <v>4.6566128730773926E-10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1985</v>
      </c>
      <c r="H624" s="109">
        <f>H476</f>
        <v>1985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83794.11</v>
      </c>
      <c r="H626" s="109">
        <f>J476</f>
        <v>83794.11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5908140.0700000003</v>
      </c>
      <c r="H627" s="104">
        <f>SUM(F468)</f>
        <v>5908140.0700000003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89641.069999999992</v>
      </c>
      <c r="H628" s="104">
        <f>SUM(G468)</f>
        <v>89641.07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56899.92</v>
      </c>
      <c r="H629" s="104">
        <f>SUM(H468)</f>
        <v>56899.92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1548.91</v>
      </c>
      <c r="H631" s="104">
        <f>SUM(J468)</f>
        <v>1548.91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5841079.290000001</v>
      </c>
      <c r="H632" s="104">
        <f>SUM(F472)</f>
        <v>5841079.29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54914.920000000006</v>
      </c>
      <c r="H633" s="104">
        <f>SUM(H472)</f>
        <v>54914.92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29497.4</v>
      </c>
      <c r="H634" s="104">
        <f>I369</f>
        <v>29497.399999999998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100793.07</v>
      </c>
      <c r="H635" s="104">
        <f>SUM(G472)</f>
        <v>100793.07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1548.91</v>
      </c>
      <c r="H637" s="164">
        <f>SUM(J468)</f>
        <v>1548.91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83794.11</v>
      </c>
      <c r="H640" s="104">
        <f>SUM(G461)</f>
        <v>83794.11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83794.11</v>
      </c>
      <c r="H642" s="104">
        <f>SUM(I461)</f>
        <v>83794.11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462.41</v>
      </c>
      <c r="H644" s="104">
        <f>H408</f>
        <v>462.41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1548.91</v>
      </c>
      <c r="H646" s="104">
        <f>L408</f>
        <v>1548.91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334468.49</v>
      </c>
      <c r="H647" s="104">
        <f>L208+L226+L244</f>
        <v>334468.49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19396.43</v>
      </c>
      <c r="H648" s="104">
        <f>(J257+J338)-(J255+J336)</f>
        <v>19396.43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251105.17</v>
      </c>
      <c r="H649" s="104">
        <f>H598</f>
        <v>251105.16999999998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83363.320000000007</v>
      </c>
      <c r="H651" s="104">
        <f>J598</f>
        <v>83363.320000000007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8844.4</v>
      </c>
      <c r="H652" s="104">
        <f>K263+K345</f>
        <v>8844.4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4117958.4699999997</v>
      </c>
      <c r="G660" s="19">
        <f>(L229+L309+L359)</f>
        <v>0</v>
      </c>
      <c r="H660" s="19">
        <f>(L247+L328+L360)</f>
        <v>1747329.6600000001</v>
      </c>
      <c r="I660" s="19">
        <f>SUM(F660:H660)</f>
        <v>5865288.1299999999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52598.13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52598.13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251105.17</v>
      </c>
      <c r="G662" s="19">
        <f>(L226+L306)-(J226+J306)</f>
        <v>0</v>
      </c>
      <c r="H662" s="19">
        <f>(L244+L325)-(J244+J325)</f>
        <v>83363.320000000007</v>
      </c>
      <c r="I662" s="19">
        <f>SUM(F662:H662)</f>
        <v>334468.49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148358.48000000001</v>
      </c>
      <c r="G663" s="199">
        <f>SUM(G575:G587)+SUM(I602:I604)+L612</f>
        <v>0</v>
      </c>
      <c r="H663" s="199">
        <f>SUM(H575:H587)+SUM(J602:J604)+L613</f>
        <v>1626802.17</v>
      </c>
      <c r="I663" s="19">
        <f>SUM(F663:H663)</f>
        <v>1775160.65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3665896.6899999995</v>
      </c>
      <c r="G664" s="19">
        <f>G660-SUM(G661:G663)</f>
        <v>0</v>
      </c>
      <c r="H664" s="19">
        <f>H660-SUM(H661:H663)</f>
        <v>37164.170000000158</v>
      </c>
      <c r="I664" s="19">
        <f>I660-SUM(I661:I663)</f>
        <v>3703060.86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202.91</v>
      </c>
      <c r="G665" s="248"/>
      <c r="H665" s="248"/>
      <c r="I665" s="19">
        <f>SUM(F665:H665)</f>
        <v>202.91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18066.61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18249.77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-37164.17</v>
      </c>
      <c r="I669" s="19">
        <f>SUM(F669:H669)</f>
        <v>-37164.17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18066.61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18066.61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0" sqref="C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Chichester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1142117.2</v>
      </c>
      <c r="C9" s="229">
        <f>'DOE25'!G197+'DOE25'!G215+'DOE25'!G233+'DOE25'!G276+'DOE25'!G295+'DOE25'!G314</f>
        <v>591282.15999999992</v>
      </c>
    </row>
    <row r="10" spans="1:3" x14ac:dyDescent="0.2">
      <c r="A10" t="s">
        <v>778</v>
      </c>
      <c r="B10" s="240">
        <v>1118372.6100000001</v>
      </c>
      <c r="C10" s="240">
        <v>578989.41</v>
      </c>
    </row>
    <row r="11" spans="1:3" x14ac:dyDescent="0.2">
      <c r="A11" t="s">
        <v>779</v>
      </c>
      <c r="B11" s="240">
        <v>9054.59</v>
      </c>
      <c r="C11" s="240">
        <v>4687.63</v>
      </c>
    </row>
    <row r="12" spans="1:3" x14ac:dyDescent="0.2">
      <c r="A12" t="s">
        <v>780</v>
      </c>
      <c r="B12" s="240">
        <v>14690</v>
      </c>
      <c r="C12" s="240">
        <v>7605.12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1142117.2000000002</v>
      </c>
      <c r="C13" s="231">
        <f>SUM(C10:C12)</f>
        <v>591282.16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418343.55</v>
      </c>
      <c r="C18" s="229">
        <f>'DOE25'!G198+'DOE25'!G216+'DOE25'!G234+'DOE25'!G277+'DOE25'!G296+'DOE25'!G315</f>
        <v>220695.69</v>
      </c>
    </row>
    <row r="19" spans="1:3" x14ac:dyDescent="0.2">
      <c r="A19" t="s">
        <v>778</v>
      </c>
      <c r="B19" s="240">
        <v>277696</v>
      </c>
      <c r="C19" s="240">
        <v>146497.56</v>
      </c>
    </row>
    <row r="20" spans="1:3" x14ac:dyDescent="0.2">
      <c r="A20" t="s">
        <v>779</v>
      </c>
      <c r="B20" s="240">
        <v>131245.82</v>
      </c>
      <c r="C20" s="240">
        <v>69238.28</v>
      </c>
    </row>
    <row r="21" spans="1:3" x14ac:dyDescent="0.2">
      <c r="A21" t="s">
        <v>780</v>
      </c>
      <c r="B21" s="240">
        <v>9401.73</v>
      </c>
      <c r="C21" s="240">
        <v>4959.8500000000004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418343.55</v>
      </c>
      <c r="C22" s="231">
        <f>SUM(C19:C21)</f>
        <v>220695.69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23350</v>
      </c>
      <c r="C36" s="235">
        <f>'DOE25'!G200+'DOE25'!G218+'DOE25'!G236+'DOE25'!G279+'DOE25'!G298+'DOE25'!G317</f>
        <v>12318.21</v>
      </c>
    </row>
    <row r="37" spans="1:3" x14ac:dyDescent="0.2">
      <c r="A37" t="s">
        <v>778</v>
      </c>
      <c r="B37" s="240">
        <v>23350</v>
      </c>
      <c r="C37" s="240">
        <v>12318.21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23350</v>
      </c>
      <c r="C40" s="231">
        <f>SUM(C37:C39)</f>
        <v>12318.21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C9" sqref="C9"/>
      <selection pane="bottomLeft" activeCell="C9" sqref="C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Chichester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4339093.1300000008</v>
      </c>
      <c r="D5" s="20">
        <f>SUM('DOE25'!L197:L200)+SUM('DOE25'!L215:L218)+SUM('DOE25'!L233:L236)-F5-G5</f>
        <v>4333320.830000001</v>
      </c>
      <c r="E5" s="243"/>
      <c r="F5" s="255">
        <f>SUM('DOE25'!J197:J200)+SUM('DOE25'!J215:J218)+SUM('DOE25'!J233:J236)</f>
        <v>1472.3000000000002</v>
      </c>
      <c r="G5" s="53">
        <f>SUM('DOE25'!K197:K200)+SUM('DOE25'!K215:K218)+SUM('DOE25'!K233:K236)</f>
        <v>4300</v>
      </c>
      <c r="H5" s="259"/>
    </row>
    <row r="6" spans="1:9" x14ac:dyDescent="0.2">
      <c r="A6" s="32">
        <v>2100</v>
      </c>
      <c r="B6" t="s">
        <v>800</v>
      </c>
      <c r="C6" s="245">
        <f t="shared" si="0"/>
        <v>305515.83999999997</v>
      </c>
      <c r="D6" s="20">
        <f>'DOE25'!L202+'DOE25'!L220+'DOE25'!L238-F6-G6</f>
        <v>303176.33999999997</v>
      </c>
      <c r="E6" s="243"/>
      <c r="F6" s="255">
        <f>'DOE25'!J202+'DOE25'!J220+'DOE25'!J238</f>
        <v>0</v>
      </c>
      <c r="G6" s="53">
        <f>'DOE25'!K202+'DOE25'!K220+'DOE25'!K238</f>
        <v>2339.5</v>
      </c>
      <c r="H6" s="259"/>
    </row>
    <row r="7" spans="1:9" x14ac:dyDescent="0.2">
      <c r="A7" s="32">
        <v>2200</v>
      </c>
      <c r="B7" t="s">
        <v>833</v>
      </c>
      <c r="C7" s="245">
        <f t="shared" si="0"/>
        <v>132764.65000000002</v>
      </c>
      <c r="D7" s="20">
        <f>'DOE25'!L203+'DOE25'!L221+'DOE25'!L239-F7-G7</f>
        <v>132764.65000000002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122996.3</v>
      </c>
      <c r="D8" s="243"/>
      <c r="E8" s="20">
        <f>'DOE25'!L204+'DOE25'!L222+'DOE25'!L240-F8-G8-D9-D11</f>
        <v>119700.31</v>
      </c>
      <c r="F8" s="255">
        <f>'DOE25'!J204+'DOE25'!J222+'DOE25'!J240</f>
        <v>0</v>
      </c>
      <c r="G8" s="53">
        <f>'DOE25'!K204+'DOE25'!K222+'DOE25'!K240</f>
        <v>3295.99</v>
      </c>
      <c r="H8" s="259"/>
    </row>
    <row r="9" spans="1:9" x14ac:dyDescent="0.2">
      <c r="A9" s="32">
        <v>2310</v>
      </c>
      <c r="B9" t="s">
        <v>817</v>
      </c>
      <c r="C9" s="245">
        <f t="shared" si="0"/>
        <v>3553.97</v>
      </c>
      <c r="D9" s="244">
        <v>3553.97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5500</v>
      </c>
      <c r="D10" s="243"/>
      <c r="E10" s="244">
        <v>5500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43665.26</v>
      </c>
      <c r="D11" s="244">
        <v>43665.26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190031.66999999998</v>
      </c>
      <c r="D12" s="20">
        <f>'DOE25'!L205+'DOE25'!L223+'DOE25'!L241-F12-G12</f>
        <v>187651.05</v>
      </c>
      <c r="E12" s="243"/>
      <c r="F12" s="255">
        <f>'DOE25'!J205+'DOE25'!J223+'DOE25'!J241</f>
        <v>1516.62</v>
      </c>
      <c r="G12" s="53">
        <f>'DOE25'!K205+'DOE25'!K223+'DOE25'!K241</f>
        <v>864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237490.83</v>
      </c>
      <c r="D14" s="20">
        <f>'DOE25'!L207+'DOE25'!L225+'DOE25'!L243-F14-G14</f>
        <v>235038.62</v>
      </c>
      <c r="E14" s="243"/>
      <c r="F14" s="255">
        <f>'DOE25'!J207+'DOE25'!J225+'DOE25'!J243</f>
        <v>2452.21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334468.49</v>
      </c>
      <c r="D15" s="20">
        <f>'DOE25'!L208+'DOE25'!L226+'DOE25'!L244-F15-G15</f>
        <v>334468.49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108089.5</v>
      </c>
      <c r="D25" s="243"/>
      <c r="E25" s="243"/>
      <c r="F25" s="258"/>
      <c r="G25" s="256"/>
      <c r="H25" s="257">
        <f>'DOE25'!L260+'DOE25'!L261+'DOE25'!L341+'DOE25'!L342</f>
        <v>108089.5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72432.360000000015</v>
      </c>
      <c r="D29" s="20">
        <f>'DOE25'!L358+'DOE25'!L359+'DOE25'!L360-'DOE25'!I367-F29-G29</f>
        <v>70322.360000000015</v>
      </c>
      <c r="E29" s="243"/>
      <c r="F29" s="255">
        <f>'DOE25'!J358+'DOE25'!J359+'DOE25'!J360</f>
        <v>2110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54914.920000000013</v>
      </c>
      <c r="D31" s="20">
        <f>'DOE25'!L290+'DOE25'!L309+'DOE25'!L328+'DOE25'!L333+'DOE25'!L334+'DOE25'!L335-F31-G31</f>
        <v>39592.400000000009</v>
      </c>
      <c r="E31" s="243"/>
      <c r="F31" s="255">
        <f>'DOE25'!J290+'DOE25'!J309+'DOE25'!J328+'DOE25'!J333+'DOE25'!J334+'DOE25'!J335</f>
        <v>13955.3</v>
      </c>
      <c r="G31" s="53">
        <f>'DOE25'!K290+'DOE25'!K309+'DOE25'!K328+'DOE25'!K333+'DOE25'!K334+'DOE25'!K335</f>
        <v>1367.22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5683553.9700000016</v>
      </c>
      <c r="E33" s="246">
        <f>SUM(E5:E31)</f>
        <v>125200.31</v>
      </c>
      <c r="F33" s="246">
        <f>SUM(F5:F31)</f>
        <v>21506.43</v>
      </c>
      <c r="G33" s="246">
        <f>SUM(G5:G31)</f>
        <v>12166.71</v>
      </c>
      <c r="H33" s="246">
        <f>SUM(H5:H31)</f>
        <v>108089.5</v>
      </c>
    </row>
    <row r="35" spans="2:8" ht="12" thickBot="1" x14ac:dyDescent="0.25">
      <c r="B35" s="253" t="s">
        <v>846</v>
      </c>
      <c r="D35" s="254">
        <f>E33</f>
        <v>125200.31</v>
      </c>
      <c r="E35" s="249"/>
    </row>
    <row r="36" spans="2:8" ht="12" thickTop="1" x14ac:dyDescent="0.2">
      <c r="B36" t="s">
        <v>814</v>
      </c>
      <c r="D36" s="20">
        <f>D33</f>
        <v>5683553.9700000016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8" activePane="bottomLeft" state="frozen"/>
      <selection activeCell="C9" sqref="C9"/>
      <selection pane="bottomLeft" activeCell="C9" sqref="C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Chichester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266165.15000000002</v>
      </c>
      <c r="D8" s="95">
        <f>'DOE25'!G9</f>
        <v>0</v>
      </c>
      <c r="E8" s="95">
        <f>'DOE25'!H9</f>
        <v>1985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83794.11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19399.97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21468.39</v>
      </c>
      <c r="D12" s="95">
        <f>'DOE25'!G13</f>
        <v>2244.4699999999998</v>
      </c>
      <c r="E12" s="95">
        <f>'DOE25'!H13</f>
        <v>14805.4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5774.86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307033.51</v>
      </c>
      <c r="D18" s="41">
        <f>SUM(D8:D17)</f>
        <v>8019.33</v>
      </c>
      <c r="E18" s="41">
        <f>SUM(E8:E17)</f>
        <v>16790.400000000001</v>
      </c>
      <c r="F18" s="41">
        <f>SUM(F8:F17)</f>
        <v>0</v>
      </c>
      <c r="G18" s="41">
        <f>SUM(G8:G17)</f>
        <v>83794.11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7634.72</v>
      </c>
      <c r="E21" s="95">
        <f>'DOE25'!H22</f>
        <v>1055.1500000000001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110491.88</v>
      </c>
      <c r="D22" s="95">
        <f>'DOE25'!G23</f>
        <v>175.43</v>
      </c>
      <c r="E22" s="95">
        <f>'DOE25'!H23</f>
        <v>13750.25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7043.38</v>
      </c>
      <c r="D23" s="95">
        <f>'DOE25'!G24</f>
        <v>209.18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17656.23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135191.49000000002</v>
      </c>
      <c r="D31" s="41">
        <f>SUM(D21:D30)</f>
        <v>8019.3300000000008</v>
      </c>
      <c r="E31" s="41">
        <f>SUM(E21:E30)</f>
        <v>14805.4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68837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83794.11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28005.02</v>
      </c>
      <c r="D48" s="95">
        <f>'DOE25'!G49</f>
        <v>0</v>
      </c>
      <c r="E48" s="95">
        <f>'DOE25'!H49</f>
        <v>1985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75000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171842.02000000002</v>
      </c>
      <c r="D50" s="41">
        <f>SUM(D34:D49)</f>
        <v>0</v>
      </c>
      <c r="E50" s="41">
        <f>SUM(E34:E49)</f>
        <v>1985</v>
      </c>
      <c r="F50" s="41">
        <f>SUM(F34:F49)</f>
        <v>0</v>
      </c>
      <c r="G50" s="41">
        <f>SUM(G34:G49)</f>
        <v>83794.11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307033.51</v>
      </c>
      <c r="D51" s="41">
        <f>D50+D31</f>
        <v>8019.3300000000008</v>
      </c>
      <c r="E51" s="41">
        <f>E50+E31</f>
        <v>16790.400000000001</v>
      </c>
      <c r="F51" s="41">
        <f>F50+F31</f>
        <v>0</v>
      </c>
      <c r="G51" s="41">
        <f>G50+G31</f>
        <v>83794.11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4256234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802.99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353.21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462.41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51812.18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24893.539999999997</v>
      </c>
      <c r="D61" s="95">
        <f>SUM('DOE25'!G98:G110)</f>
        <v>785.95</v>
      </c>
      <c r="E61" s="95">
        <f>SUM('DOE25'!H98:H110)</f>
        <v>7500</v>
      </c>
      <c r="F61" s="95">
        <f>SUM('DOE25'!I98:I110)</f>
        <v>0</v>
      </c>
      <c r="G61" s="95">
        <f>SUM('DOE25'!J98:J110)</f>
        <v>1086.5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26049.739999999998</v>
      </c>
      <c r="D62" s="130">
        <f>SUM(D57:D61)</f>
        <v>52598.13</v>
      </c>
      <c r="E62" s="130">
        <f>SUM(E57:E61)</f>
        <v>7500</v>
      </c>
      <c r="F62" s="130">
        <f>SUM(F57:F61)</f>
        <v>0</v>
      </c>
      <c r="G62" s="130">
        <f>SUM(G57:G61)</f>
        <v>1548.91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4282283.74</v>
      </c>
      <c r="D63" s="22">
        <f>D56+D62</f>
        <v>52598.13</v>
      </c>
      <c r="E63" s="22">
        <f>E56+E62</f>
        <v>7500</v>
      </c>
      <c r="F63" s="22">
        <f>F56+F62</f>
        <v>0</v>
      </c>
      <c r="G63" s="22">
        <f>G56+G62</f>
        <v>1548.91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839871.09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605538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1445409.0899999999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26016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68840.289999999994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1180.07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94856.29</v>
      </c>
      <c r="D78" s="130">
        <f>SUM(D72:D77)</f>
        <v>1180.07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1540265.38</v>
      </c>
      <c r="D81" s="130">
        <f>SUM(D79:D80)+D78+D70</f>
        <v>1180.07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85590.95</v>
      </c>
      <c r="D88" s="95">
        <f>SUM('DOE25'!G153:G161)</f>
        <v>27018.47</v>
      </c>
      <c r="E88" s="95">
        <f>SUM('DOE25'!H153:H161)</f>
        <v>49399.92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85590.95</v>
      </c>
      <c r="D91" s="131">
        <f>SUM(D85:D90)</f>
        <v>27018.47</v>
      </c>
      <c r="E91" s="131">
        <f>SUM(E85:E90)</f>
        <v>49399.92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8844.4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8844.4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5908140.0700000003</v>
      </c>
      <c r="D104" s="86">
        <f>D63+D81+D91+D103</f>
        <v>89641.069999999992</v>
      </c>
      <c r="E104" s="86">
        <f>E63+E81+E91+E103</f>
        <v>56899.92</v>
      </c>
      <c r="F104" s="86">
        <f>F63+F81+F91+F103</f>
        <v>0</v>
      </c>
      <c r="G104" s="86">
        <f>G63+G81+G103</f>
        <v>1548.91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3145293.11</v>
      </c>
      <c r="D109" s="24" t="s">
        <v>288</v>
      </c>
      <c r="E109" s="95">
        <f>('DOE25'!L276)+('DOE25'!L295)+('DOE25'!L314)</f>
        <v>45945.41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1150331.28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43468.74</v>
      </c>
      <c r="D112" s="24" t="s">
        <v>288</v>
      </c>
      <c r="E112" s="95">
        <f>+('DOE25'!L279)+('DOE25'!L298)+('DOE25'!L317)</f>
        <v>5515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4339093.13</v>
      </c>
      <c r="D115" s="86">
        <f>SUM(D109:D114)</f>
        <v>0</v>
      </c>
      <c r="E115" s="86">
        <f>SUM(E109:E114)</f>
        <v>51460.41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305515.83999999997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132764.65000000002</v>
      </c>
      <c r="D119" s="24" t="s">
        <v>288</v>
      </c>
      <c r="E119" s="95">
        <f>+('DOE25'!L282)+('DOE25'!L301)+('DOE25'!L320)</f>
        <v>2087.29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170215.53</v>
      </c>
      <c r="D120" s="24" t="s">
        <v>288</v>
      </c>
      <c r="E120" s="95">
        <f>+('DOE25'!L283)+('DOE25'!L302)+('DOE25'!L321)</f>
        <v>1367.22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190031.66999999998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237490.83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334468.49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100793.07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1370487.0099999998</v>
      </c>
      <c r="D128" s="86">
        <f>SUM(D118:D127)</f>
        <v>100793.07</v>
      </c>
      <c r="E128" s="86">
        <f>SUM(E118:E127)</f>
        <v>3454.51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105000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3089.5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8844.4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1548.91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-1548.91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14565.25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131499.15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5841079.29</v>
      </c>
      <c r="D145" s="86">
        <f>(D115+D128+D144)</f>
        <v>100793.07</v>
      </c>
      <c r="E145" s="86">
        <f>(E115+E128+E144)</f>
        <v>54914.920000000006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4.08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105000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105000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105000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105000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9" sqref="C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Chichester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18067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18067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3191239</v>
      </c>
      <c r="D10" s="182">
        <f>ROUND((C10/$C$28)*100,1)</f>
        <v>54.7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1150331</v>
      </c>
      <c r="D11" s="182">
        <f>ROUND((C11/$C$28)*100,1)</f>
        <v>19.7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48984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305516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134852</v>
      </c>
      <c r="D16" s="182">
        <f t="shared" si="0"/>
        <v>2.2999999999999998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171583</v>
      </c>
      <c r="D17" s="182">
        <f t="shared" si="0"/>
        <v>2.9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190032</v>
      </c>
      <c r="D18" s="182">
        <f t="shared" si="0"/>
        <v>3.3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237491</v>
      </c>
      <c r="D20" s="182">
        <f t="shared" si="0"/>
        <v>4.0999999999999996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334468</v>
      </c>
      <c r="D21" s="182">
        <f t="shared" si="0"/>
        <v>5.7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3090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14565.25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48194.87</v>
      </c>
      <c r="D27" s="182">
        <f t="shared" si="0"/>
        <v>0.8</v>
      </c>
    </row>
    <row r="28" spans="1:4" x14ac:dyDescent="0.2">
      <c r="B28" s="187" t="s">
        <v>722</v>
      </c>
      <c r="C28" s="180">
        <f>SUM(C10:C27)</f>
        <v>5830346.1200000001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5830346.1200000001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105000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4256234</v>
      </c>
      <c r="D35" s="182">
        <f t="shared" ref="D35:D40" si="1">ROUND((C35/$C$41)*100,1)</f>
        <v>71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35098.650000000373</v>
      </c>
      <c r="D36" s="182">
        <f t="shared" si="1"/>
        <v>0.6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1445409</v>
      </c>
      <c r="D37" s="182">
        <f t="shared" si="1"/>
        <v>24.1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96036</v>
      </c>
      <c r="D38" s="182">
        <f t="shared" si="1"/>
        <v>1.6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162009</v>
      </c>
      <c r="D39" s="182">
        <f t="shared" si="1"/>
        <v>2.7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5994786.6500000004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C9" sqref="C9"/>
      <selection pane="bottomLeft" activeCell="C9" sqref="C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Chichester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2017-10-11T18:37:35Z</cp:lastPrinted>
  <dcterms:created xsi:type="dcterms:W3CDTF">1997-12-04T19:04:30Z</dcterms:created>
  <dcterms:modified xsi:type="dcterms:W3CDTF">2017-11-29T17:13:28Z</dcterms:modified>
</cp:coreProperties>
</file>