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37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G523" i="1" l="1"/>
  <c r="H523" i="1"/>
  <c r="I523" i="1"/>
  <c r="J523" i="1"/>
  <c r="K523" i="1"/>
  <c r="F523" i="1"/>
  <c r="G522" i="1"/>
  <c r="H522" i="1"/>
  <c r="I522" i="1"/>
  <c r="J522" i="1"/>
  <c r="K522" i="1"/>
  <c r="F522" i="1"/>
  <c r="G521" i="1"/>
  <c r="H521" i="1"/>
  <c r="I521" i="1"/>
  <c r="J521" i="1"/>
  <c r="K521" i="1"/>
  <c r="F521" i="1"/>
  <c r="I358" i="1"/>
  <c r="H582" i="1"/>
  <c r="F582" i="1"/>
  <c r="H240" i="1"/>
  <c r="H222" i="1"/>
  <c r="H204" i="1"/>
  <c r="F498" i="1"/>
  <c r="H48" i="1" l="1"/>
  <c r="G132" i="1"/>
  <c r="F68" i="1"/>
  <c r="H13" i="1" l="1"/>
  <c r="F17" i="1"/>
  <c r="F9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F662" i="1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C19" i="10" s="1"/>
  <c r="L324" i="1"/>
  <c r="L325" i="1"/>
  <c r="L326" i="1"/>
  <c r="L333" i="1"/>
  <c r="E114" i="2" s="1"/>
  <c r="L334" i="1"/>
  <c r="L335" i="1"/>
  <c r="L260" i="1"/>
  <c r="C32" i="10" s="1"/>
  <c r="L261" i="1"/>
  <c r="C132" i="2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51" i="1" s="1"/>
  <c r="L345" i="1"/>
  <c r="E135" i="2" s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8" i="2" s="1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D115" i="2"/>
  <c r="F115" i="2"/>
  <c r="G115" i="2"/>
  <c r="C119" i="2"/>
  <c r="E121" i="2"/>
  <c r="E123" i="2"/>
  <c r="E124" i="2"/>
  <c r="C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F460" i="1"/>
  <c r="F461" i="1" s="1"/>
  <c r="H639" i="1" s="1"/>
  <c r="G460" i="1"/>
  <c r="G461" i="1" s="1"/>
  <c r="H640" i="1" s="1"/>
  <c r="H460" i="1"/>
  <c r="J470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J545" i="1" s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F571" i="1" s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H571" i="1" s="1"/>
  <c r="I565" i="1"/>
  <c r="I571" i="1" s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H631" i="1"/>
  <c r="G634" i="1"/>
  <c r="H637" i="1"/>
  <c r="H638" i="1"/>
  <c r="G639" i="1"/>
  <c r="G643" i="1"/>
  <c r="H643" i="1"/>
  <c r="J643" i="1" s="1"/>
  <c r="G644" i="1"/>
  <c r="H644" i="1"/>
  <c r="G645" i="1"/>
  <c r="H645" i="1"/>
  <c r="J645" i="1" s="1"/>
  <c r="G650" i="1"/>
  <c r="G652" i="1"/>
  <c r="H652" i="1"/>
  <c r="G653" i="1"/>
  <c r="H653" i="1"/>
  <c r="G654" i="1"/>
  <c r="H654" i="1"/>
  <c r="H655" i="1"/>
  <c r="C26" i="10"/>
  <c r="D62" i="2"/>
  <c r="D63" i="2" s="1"/>
  <c r="F18" i="2"/>
  <c r="D91" i="2"/>
  <c r="E31" i="2"/>
  <c r="G62" i="2"/>
  <c r="E13" i="13"/>
  <c r="C13" i="13" s="1"/>
  <c r="E78" i="2"/>
  <c r="J571" i="1"/>
  <c r="D81" i="2"/>
  <c r="I169" i="1"/>
  <c r="J644" i="1"/>
  <c r="J476" i="1"/>
  <c r="H626" i="1" s="1"/>
  <c r="J140" i="1"/>
  <c r="I552" i="1"/>
  <c r="H140" i="1"/>
  <c r="A13" i="12"/>
  <c r="F22" i="13"/>
  <c r="C22" i="13" s="1"/>
  <c r="G192" i="1"/>
  <c r="H192" i="1"/>
  <c r="E16" i="13"/>
  <c r="I545" i="1"/>
  <c r="G36" i="2"/>
  <c r="K551" i="1"/>
  <c r="A40" i="12" l="1"/>
  <c r="J641" i="1"/>
  <c r="K545" i="1"/>
  <c r="G636" i="1"/>
  <c r="I472" i="1"/>
  <c r="C15" i="10"/>
  <c r="L534" i="1"/>
  <c r="L539" i="1"/>
  <c r="J639" i="1"/>
  <c r="G164" i="2"/>
  <c r="G156" i="2"/>
  <c r="C114" i="2"/>
  <c r="C85" i="2"/>
  <c r="C91" i="2" s="1"/>
  <c r="E62" i="2"/>
  <c r="E63" i="2" s="1"/>
  <c r="D18" i="2"/>
  <c r="A31" i="12"/>
  <c r="H662" i="1"/>
  <c r="L614" i="1"/>
  <c r="D7" i="13"/>
  <c r="C7" i="13" s="1"/>
  <c r="E81" i="2"/>
  <c r="G625" i="1"/>
  <c r="K605" i="1"/>
  <c r="G648" i="1" s="1"/>
  <c r="L524" i="1"/>
  <c r="I460" i="1"/>
  <c r="I452" i="1"/>
  <c r="I446" i="1"/>
  <c r="G642" i="1" s="1"/>
  <c r="C78" i="2"/>
  <c r="L270" i="1"/>
  <c r="G662" i="1"/>
  <c r="I662" i="1" s="1"/>
  <c r="G545" i="1"/>
  <c r="G552" i="1"/>
  <c r="K598" i="1"/>
  <c r="G647" i="1" s="1"/>
  <c r="L544" i="1"/>
  <c r="L545" i="1" s="1"/>
  <c r="K549" i="1"/>
  <c r="K552" i="1" s="1"/>
  <c r="H25" i="13"/>
  <c r="C25" i="13" s="1"/>
  <c r="C25" i="10"/>
  <c r="H33" i="13"/>
  <c r="G651" i="1"/>
  <c r="J651" i="1" s="1"/>
  <c r="C123" i="2"/>
  <c r="E8" i="13"/>
  <c r="C8" i="13" s="1"/>
  <c r="C13" i="10"/>
  <c r="C111" i="2"/>
  <c r="C10" i="10"/>
  <c r="K257" i="1"/>
  <c r="K271" i="1" s="1"/>
  <c r="L247" i="1"/>
  <c r="C20" i="10"/>
  <c r="C18" i="10"/>
  <c r="C120" i="2"/>
  <c r="C16" i="10"/>
  <c r="C118" i="2"/>
  <c r="C112" i="2"/>
  <c r="L229" i="1"/>
  <c r="J257" i="1"/>
  <c r="J271" i="1" s="1"/>
  <c r="I257" i="1"/>
  <c r="I271" i="1" s="1"/>
  <c r="H257" i="1"/>
  <c r="H271" i="1" s="1"/>
  <c r="G257" i="1"/>
  <c r="G271" i="1" s="1"/>
  <c r="D5" i="13"/>
  <c r="C5" i="13" s="1"/>
  <c r="G649" i="1"/>
  <c r="J649" i="1" s="1"/>
  <c r="H647" i="1"/>
  <c r="D15" i="13"/>
  <c r="C15" i="13" s="1"/>
  <c r="C21" i="10"/>
  <c r="C124" i="2"/>
  <c r="D12" i="13"/>
  <c r="C12" i="13" s="1"/>
  <c r="C121" i="2"/>
  <c r="F257" i="1"/>
  <c r="F271" i="1" s="1"/>
  <c r="C110" i="2"/>
  <c r="L211" i="1"/>
  <c r="K503" i="1"/>
  <c r="J640" i="1"/>
  <c r="E125" i="2"/>
  <c r="C17" i="10"/>
  <c r="E122" i="2"/>
  <c r="E120" i="2"/>
  <c r="E119" i="2"/>
  <c r="F338" i="1"/>
  <c r="F352" i="1" s="1"/>
  <c r="L309" i="1"/>
  <c r="E118" i="2"/>
  <c r="C12" i="10"/>
  <c r="L328" i="1"/>
  <c r="H338" i="1"/>
  <c r="H352" i="1" s="1"/>
  <c r="G338" i="1"/>
  <c r="G352" i="1" s="1"/>
  <c r="C11" i="10"/>
  <c r="K338" i="1"/>
  <c r="K352" i="1" s="1"/>
  <c r="E111" i="2"/>
  <c r="E110" i="2"/>
  <c r="J338" i="1"/>
  <c r="J352" i="1" s="1"/>
  <c r="L290" i="1"/>
  <c r="E109" i="2"/>
  <c r="I369" i="1"/>
  <c r="H634" i="1" s="1"/>
  <c r="J634" i="1" s="1"/>
  <c r="F661" i="1"/>
  <c r="D127" i="2"/>
  <c r="D128" i="2" s="1"/>
  <c r="D145" i="2" s="1"/>
  <c r="H661" i="1"/>
  <c r="G661" i="1"/>
  <c r="D29" i="13"/>
  <c r="C29" i="13" s="1"/>
  <c r="F112" i="1"/>
  <c r="C36" i="10" s="1"/>
  <c r="C57" i="2"/>
  <c r="C62" i="2" s="1"/>
  <c r="C63" i="2" s="1"/>
  <c r="C81" i="2"/>
  <c r="H52" i="1"/>
  <c r="H619" i="1" s="1"/>
  <c r="J619" i="1" s="1"/>
  <c r="D31" i="2"/>
  <c r="D51" i="2" s="1"/>
  <c r="J617" i="1"/>
  <c r="L362" i="1"/>
  <c r="C16" i="13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A22" i="12"/>
  <c r="J652" i="1"/>
  <c r="G571" i="1"/>
  <c r="I434" i="1"/>
  <c r="G434" i="1"/>
  <c r="I663" i="1"/>
  <c r="I461" i="1" l="1"/>
  <c r="H642" i="1" s="1"/>
  <c r="J642" i="1" s="1"/>
  <c r="G104" i="2"/>
  <c r="G630" i="1"/>
  <c r="I468" i="1"/>
  <c r="I474" i="1"/>
  <c r="H636" i="1"/>
  <c r="J636" i="1" s="1"/>
  <c r="C27" i="10"/>
  <c r="C28" i="10" s="1"/>
  <c r="D12" i="10" s="1"/>
  <c r="G472" i="1"/>
  <c r="J647" i="1"/>
  <c r="F193" i="1"/>
  <c r="F468" i="1" s="1"/>
  <c r="G627" i="1"/>
  <c r="E33" i="13"/>
  <c r="D35" i="13" s="1"/>
  <c r="C115" i="2"/>
  <c r="H660" i="1"/>
  <c r="H664" i="1" s="1"/>
  <c r="H672" i="1" s="1"/>
  <c r="C6" i="10" s="1"/>
  <c r="L257" i="1"/>
  <c r="L271" i="1" s="1"/>
  <c r="G632" i="1" s="1"/>
  <c r="G660" i="1"/>
  <c r="G664" i="1" s="1"/>
  <c r="G667" i="1" s="1"/>
  <c r="C128" i="2"/>
  <c r="F660" i="1"/>
  <c r="F664" i="1" s="1"/>
  <c r="F667" i="1" s="1"/>
  <c r="G629" i="1"/>
  <c r="H468" i="1"/>
  <c r="E128" i="2"/>
  <c r="H648" i="1"/>
  <c r="J648" i="1" s="1"/>
  <c r="E115" i="2"/>
  <c r="D31" i="13"/>
  <c r="C31" i="13" s="1"/>
  <c r="L338" i="1"/>
  <c r="L352" i="1" s="1"/>
  <c r="G635" i="1"/>
  <c r="I661" i="1"/>
  <c r="C104" i="2"/>
  <c r="L408" i="1"/>
  <c r="C51" i="2"/>
  <c r="G631" i="1"/>
  <c r="J631" i="1" s="1"/>
  <c r="G193" i="1"/>
  <c r="G626" i="1"/>
  <c r="J626" i="1" s="1"/>
  <c r="J52" i="1"/>
  <c r="H621" i="1" s="1"/>
  <c r="J621" i="1" s="1"/>
  <c r="C38" i="10"/>
  <c r="I476" i="1" l="1"/>
  <c r="H625" i="1" s="1"/>
  <c r="J625" i="1" s="1"/>
  <c r="I470" i="1"/>
  <c r="H630" i="1"/>
  <c r="J630" i="1" s="1"/>
  <c r="G474" i="1"/>
  <c r="H635" i="1"/>
  <c r="J635" i="1" s="1"/>
  <c r="F470" i="1"/>
  <c r="H627" i="1"/>
  <c r="J627" i="1" s="1"/>
  <c r="C145" i="2"/>
  <c r="F472" i="1"/>
  <c r="H632" i="1" s="1"/>
  <c r="J632" i="1" s="1"/>
  <c r="I660" i="1"/>
  <c r="I664" i="1" s="1"/>
  <c r="I672" i="1" s="1"/>
  <c r="C7" i="10" s="1"/>
  <c r="G628" i="1"/>
  <c r="G468" i="1"/>
  <c r="G633" i="1"/>
  <c r="H472" i="1"/>
  <c r="H629" i="1"/>
  <c r="J629" i="1" s="1"/>
  <c r="H470" i="1"/>
  <c r="E145" i="2"/>
  <c r="D10" i="10"/>
  <c r="D15" i="10"/>
  <c r="C30" i="10"/>
  <c r="D26" i="10"/>
  <c r="D16" i="10"/>
  <c r="D19" i="10"/>
  <c r="D23" i="10"/>
  <c r="H667" i="1"/>
  <c r="D11" i="10"/>
  <c r="D22" i="10"/>
  <c r="D27" i="10"/>
  <c r="D17" i="10"/>
  <c r="D24" i="10"/>
  <c r="D20" i="10"/>
  <c r="D25" i="10"/>
  <c r="D13" i="10"/>
  <c r="D21" i="10"/>
  <c r="D18" i="10"/>
  <c r="F672" i="1"/>
  <c r="C4" i="10" s="1"/>
  <c r="D33" i="13"/>
  <c r="D36" i="13" s="1"/>
  <c r="G672" i="1"/>
  <c r="C5" i="10" s="1"/>
  <c r="G637" i="1"/>
  <c r="J637" i="1" s="1"/>
  <c r="H646" i="1"/>
  <c r="J646" i="1" s="1"/>
  <c r="C41" i="10"/>
  <c r="D38" i="10" s="1"/>
  <c r="F474" i="1" l="1"/>
  <c r="F476" i="1" s="1"/>
  <c r="H622" i="1" s="1"/>
  <c r="J622" i="1" s="1"/>
  <c r="H628" i="1"/>
  <c r="J628" i="1" s="1"/>
  <c r="G470" i="1"/>
  <c r="G476" i="1" s="1"/>
  <c r="H623" i="1" s="1"/>
  <c r="J623" i="1" s="1"/>
  <c r="H474" i="1"/>
  <c r="H476" i="1" s="1"/>
  <c r="H624" i="1" s="1"/>
  <c r="H633" i="1"/>
  <c r="J633" i="1" s="1"/>
  <c r="D28" i="10"/>
  <c r="I667" i="1"/>
  <c r="D37" i="10"/>
  <c r="D36" i="10"/>
  <c r="D35" i="10"/>
  <c r="D40" i="10"/>
  <c r="D39" i="10"/>
  <c r="J624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<sst xmlns="http://schemas.openxmlformats.org/spreadsheetml/2006/main" count="3957" uniqueCount="915">
  <si>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</si>
  <si>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</si>
  <si>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</si>
  <si>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</si>
  <si>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</si>
  <si>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</si>
  <si>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</si>
  <si>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</si>
  <si>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</si>
  <si>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</si>
  <si>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</si>
  <si>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</si>
  <si>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</si>
  <si>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</si>
  <si>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</si>
  <si>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</si>
  <si>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</si>
  <si>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</si>
  <si>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</si>
  <si>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</si>
  <si>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</si>
  <si>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</si>
  <si>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</si>
  <si>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</si>
  <si>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</si>
  <si>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</si>
  <si>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</si>
  <si>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</si>
  <si>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</si>
  <si>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</si>
  <si>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</si>
  <si>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</si>
  <si>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</si>
  <si>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</si>
  <si>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</si>
  <si>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</si>
  <si>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</si>
  <si>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</si>
  <si>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</si>
  <si>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</si>
  <si>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</si>
  <si>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</si>
  <si>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</si>
  <si>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</si>
  <si>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</si>
  <si>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</si>
  <si>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</si>
  <si>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</si>
  <si>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</si>
  <si>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</si>
  <si>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</si>
  <si>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</si>
  <si>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</si>
  <si>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</si>
  <si>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</si>
  <si>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</si>
  <si>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</si>
  <si>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</si>
  <si>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</si>
  <si>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</si>
  <si>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</si>
  <si>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</si>
  <si>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</si>
  <si>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</si>
  <si>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</si>
  <si>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</si>
  <si>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</si>
  <si>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</si>
  <si>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</si>
  <si>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</si>
  <si>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</si>
  <si>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</si>
  <si>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</si>
  <si>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</si>
  <si>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</si>
  <si>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</si>
  <si>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</si>
  <si>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</si>
  <si>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</si>
  <si>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</si>
  <si>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</si>
  <si>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</si>
  <si>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</si>
  <si>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</si>
  <si>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</si>
  <si>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</si>
  <si>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</si>
  <si>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</si>
  <si>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</si>
  <si>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</si>
  <si>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</si>
  <si>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</si>
  <si>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</si>
  <si>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</si>
  <si>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</si>
  <si>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</si>
  <si>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</si>
  <si>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</si>
  <si>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</si>
  <si>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</si>
  <si>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</si>
  <si>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</si>
  <si>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</si>
  <si>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</si>
  <si>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</si>
  <si>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</si>
  <si>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</si>
  <si>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</si>
  <si>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</si>
  <si>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</si>
  <si>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</si>
  <si>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</si>
  <si>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</si>
  <si>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</si>
  <si>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</si>
  <si>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</si>
  <si>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</si>
  <si>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</si>
  <si>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</si>
  <si>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</si>
  <si>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</si>
  <si>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</si>
  <si>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</si>
  <si>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</si>
  <si>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</si>
  <si>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</si>
  <si>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</si>
  <si>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</si>
  <si>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</si>
  <si>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</si>
  <si>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</si>
  <si>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</si>
  <si>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</si>
  <si>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</si>
  <si>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</si>
  <si>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</si>
  <si>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</si>
  <si>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</si>
  <si>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</si>
  <si>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</si>
  <si>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</si>
  <si>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</si>
  <si>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</si>
  <si>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</si>
  <si>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</si>
  <si>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</si>
  <si>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</si>
  <si>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</si>
  <si>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</si>
  <si>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</si>
  <si>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</si>
  <si>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</si>
  <si>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</si>
  <si>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</si>
  <si>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</si>
  <si>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</si>
  <si>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</si>
  <si>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</si>
  <si>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</si>
  <si>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</si>
  <si>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</si>
  <si>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</si>
  <si>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</si>
  <si>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</si>
  <si>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</si>
  <si>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</si>
  <si>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</si>
  <si>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</si>
  <si>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</si>
  <si>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</si>
  <si>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</si>
  <si>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</si>
  <si>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</si>
  <si>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</si>
  <si>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</si>
  <si>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</si>
  <si>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</si>
  <si>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</si>
  <si>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</si>
  <si>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</si>
  <si>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</si>
  <si>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</si>
  <si>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</si>
  <si>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</si>
  <si>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</si>
  <si>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</si>
  <si>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</si>
  <si>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</si>
  <si>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</si>
  <si>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</si>
  <si>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</si>
  <si>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</si>
  <si>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</si>
  <si>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</si>
  <si>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</si>
  <si>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</si>
  <si>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</si>
  <si>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</si>
  <si>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</si>
  <si>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</si>
  <si>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</si>
  <si>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</si>
  <si>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</si>
  <si>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</si>
  <si>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</si>
  <si>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</si>
  <si>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</si>
  <si>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</si>
  <si>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</si>
  <si>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</si>
  <si>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</si>
  <si>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</si>
  <si>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</si>
  <si>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</si>
  <si>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</si>
  <si>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</si>
  <si>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</si>
  <si>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</si>
  <si>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</si>
  <si>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</si>
  <si>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</si>
  <si>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</si>
  <si>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</si>
  <si>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</si>
  <si>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</si>
  <si>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</si>
  <si>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</si>
  <si>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</si>
  <si>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</si>
  <si>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</si>
  <si>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</si>
  <si>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</si>
  <si>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</si>
  <si>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</si>
  <si>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</si>
  <si>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</si>
  <si>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</si>
  <si>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</si>
  <si>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</si>
  <si>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</si>
  <si>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</si>
  <si>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</si>
  <si>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</si>
  <si>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</si>
  <si>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</si>
  <si>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</si>
  <si>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</si>
  <si>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</si>
  <si>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</si>
  <si>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</si>
  <si>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</si>
  <si>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</si>
  <si>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</si>
  <si>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</si>
  <si>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</si>
  <si>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</si>
  <si>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</si>
  <si>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</si>
  <si>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</si>
  <si>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</si>
  <si>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</si>
  <si>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</si>
  <si>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</si>
  <si>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</si>
  <si>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</si>
  <si>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</si>
  <si>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</si>
  <si>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</si>
  <si>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</si>
  <si>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</si>
  <si>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</si>
  <si>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</si>
  <si>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</si>
  <si>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</si>
  <si>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</si>
  <si>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</si>
  <si>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</si>
  <si>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</si>
  <si>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</si>
  <si>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</si>
  <si>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</si>
  <si>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</si>
  <si>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</si>
  <si>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</si>
  <si>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</si>
  <si>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</si>
  <si>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</si>
  <si>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</si>
  <si>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</si>
  <si>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</si>
  <si>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</si>
  <si>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</si>
  <si>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</si>
  <si>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</si>
  <si>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</si>
  <si>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</si>
  <si>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</si>
  <si>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</si>
  <si>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</si>
  <si>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</si>
  <si>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</si>
  <si>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</si>
  <si>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</si>
  <si>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</si>
  <si>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</si>
  <si>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</si>
  <si>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</si>
  <si>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</si>
  <si>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</si>
  <si>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</si>
  <si>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</si>
  <si>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</si>
  <si>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</si>
  <si>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</si>
  <si>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</si>
  <si>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</si>
  <si>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</si>
  <si>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</si>
  <si>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</si>
  <si>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</si>
  <si>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</si>
  <si>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</si>
  <si>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</si>
  <si>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</si>
  <si>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</si>
  <si>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</si>
  <si>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</si>
  <si>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</si>
  <si>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</si>
  <si>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</si>
  <si>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</si>
  <si>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</si>
  <si>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</si>
  <si>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</si>
  <si>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</si>
  <si>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</si>
  <si>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</si>
  <si>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</si>
  <si>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</si>
  <si>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</si>
  <si>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</si>
  <si>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</si>
  <si>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</si>
  <si>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</si>
  <si>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</si>
  <si>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</si>
  <si>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</si>
  <si>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</si>
  <si>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</si>
  <si>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</si>
  <si>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</si>
  <si>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</si>
  <si>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</si>
  <si>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</si>
  <si>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</si>
  <si>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</si>
  <si>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</si>
  <si>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</si>
  <si>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</si>
  <si>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</si>
  <si>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</si>
  <si>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</si>
  <si>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</si>
  <si>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</si>
  <si>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</si>
  <si>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</si>
  <si>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</si>
  <si>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</si>
  <si>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</si>
  <si>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</si>
  <si>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</si>
  <si>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</si>
  <si>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</si>
  <si>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</si>
  <si>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</si>
  <si>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</si>
  <si>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</si>
  <si>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</si>
  <si>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</si>
  <si>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</si>
  <si>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</si>
  <si>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</si>
  <si>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</si>
  <si>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</si>
  <si>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</si>
  <si>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</si>
  <si>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</si>
  <si>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</si>
  <si>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</si>
  <si>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</si>
  <si>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</si>
  <si>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</si>
  <si>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</si>
  <si>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</si>
  <si>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</si>
  <si>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</si>
  <si>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</si>
  <si>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</si>
  <si>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</si>
  <si>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</si>
  <si>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</si>
  <si>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</si>
  <si>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</si>
  <si>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</si>
  <si>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</si>
  <si>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</si>
  <si>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</si>
  <si>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</si>
  <si>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</si>
  <si>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</si>
  <si>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</si>
  <si>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</si>
  <si>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</si>
  <si>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</si>
  <si>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</si>
  <si>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</si>
  <si>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</si>
  <si>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</si>
  <si>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</si>
  <si>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</si>
  <si>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</si>
  <si>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</si>
  <si>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</si>
  <si>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</si>
  <si>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</si>
  <si>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</si>
  <si>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</si>
  <si>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</si>
  <si>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</si>
  <si>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</si>
  <si>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</si>
  <si>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</si>
  <si>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</si>
  <si>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</si>
  <si>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</si>
  <si>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</si>
  <si>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</si>
  <si>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</si>
  <si>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</si>
  <si>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</si>
  <si>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</si>
  <si>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</si>
  <si>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</si>
  <si>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</si>
  <si>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</si>
  <si>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</si>
  <si>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</si>
  <si>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</si>
  <si>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</si>
  <si>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</si>
  <si>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</si>
  <si>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</si>
  <si>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</si>
  <si>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</si>
  <si>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</si>
  <si>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</si>
  <si>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</si>
  <si>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</si>
  <si>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</si>
  <si>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</si>
  <si>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</si>
  <si>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</si>
  <si>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</si>
  <si>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</si>
  <si>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</si>
  <si>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</si>
  <si>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</si>
  <si>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</si>
  <si>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</si>
  <si>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</si>
  <si>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</si>
  <si>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</si>
  <si>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</si>
  <si>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</si>
  <si>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</si>
  <si>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</si>
  <si>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</si>
  <si>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</si>
  <si>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</si>
  <si>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</si>
  <si>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</si>
  <si>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</si>
  <si>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</si>
  <si>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</si>
  <si>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</si>
  <si>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</si>
  <si>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</si>
  <si>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</si>
  <si>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</si>
  <si>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</si>
  <si>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</si>
  <si>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</si>
  <si>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</si>
  <si>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</si>
  <si>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</si>
  <si>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</si>
  <si>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</si>
  <si>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</si>
  <si>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</si>
  <si>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</si>
  <si>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</si>
  <si>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</si>
  <si>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</si>
  <si>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</si>
  <si>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</si>
  <si>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</si>
  <si>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</si>
  <si>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</si>
  <si>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</si>
  <si>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</si>
  <si>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</si>
  <si>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</si>
  <si>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</si>
  <si>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</si>
  <si>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</si>
  <si>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</si>
  <si>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</si>
  <si>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</si>
  <si>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</si>
  <si>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</si>
  <si>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</si>
  <si>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</si>
  <si>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</si>
  <si>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</si>
  <si>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</si>
  <si>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</si>
  <si>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</si>
  <si>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</si>
  <si>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</si>
  <si>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</si>
  <si>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</si>
  <si>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</si>
  <si>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</si>
  <si>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</si>
  <si>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</si>
  <si>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</si>
  <si>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</si>
  <si>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</si>
  <si>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</si>
  <si>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</si>
  <si>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</si>
  <si>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</si>
  <si>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</si>
  <si>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</si>
  <si>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</si>
  <si>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</si>
  <si>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</si>
  <si>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</si>
  <si>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</si>
  <si>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</si>
  <si>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</si>
  <si>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</si>
  <si>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</si>
  <si>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</si>
  <si>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</si>
  <si>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</si>
  <si>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</si>
  <si>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</si>
  <si>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</si>
  <si>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</si>
  <si>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</si>
  <si>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</si>
  <si>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</si>
  <si>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</si>
  <si>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</si>
  <si>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</si>
  <si>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</si>
  <si>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</si>
  <si>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</si>
  <si>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</si>
  <si>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</si>
  <si>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</si>
  <si>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</si>
  <si>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</si>
  <si>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</si>
  <si>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</si>
  <si>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</si>
  <si>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</si>
  <si>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</si>
  <si>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</si>
  <si>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</si>
  <si>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</si>
  <si>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</si>
  <si>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</si>
  <si>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</si>
  <si>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</si>
  <si>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</si>
  <si>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</si>
  <si>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</si>
  <si>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</si>
  <si>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</si>
  <si>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</si>
  <si>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</si>
  <si>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</si>
  <si>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</si>
  <si>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</si>
  <si>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</si>
  <si>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</si>
  <si>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</si>
  <si>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</si>
  <si>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</si>
  <si>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</si>
  <si>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</si>
  <si>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</si>
  <si>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</si>
  <si>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</si>
  <si>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</si>
  <si>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</si>
  <si>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</si>
  <si>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</si>
  <si>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</si>
  <si>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</si>
  <si>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</si>
  <si>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</si>
  <si>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</si>
  <si>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</si>
  <si>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</si>
  <si>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</si>
  <si>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</si>
  <si>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</si>
  <si>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</si>
  <si>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</si>
  <si>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</si>
  <si>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</si>
  <si>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</si>
  <si>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</si>
  <si>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</si>
  <si>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</si>
  <si>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</si>
  <si>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</si>
  <si>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</si>
  <si>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</si>
  <si>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</si>
  <si>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</si>
  <si>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</si>
  <si>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</si>
  <si>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</si>
  <si>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</si>
  <si>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</si>
  <si>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</si>
  <si>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</si>
  <si>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</si>
  <si>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</si>
  <si>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</si>
  <si>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</si>
  <si>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</si>
  <si>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</si>
  <si>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</si>
  <si>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</si>
  <si>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</si>
  <si>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</si>
  <si>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</si>
  <si>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</si>
  <si>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</si>
  <si>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</si>
  <si>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</si>
  <si>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</si>
  <si>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</si>
  <si>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</si>
  <si>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</si>
  <si>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</si>
  <si>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</si>
  <si>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</si>
  <si>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</si>
  <si>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</si>
  <si>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</si>
  <si>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</si>
  <si>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</si>
  <si>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</si>
  <si>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</si>
  <si>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</si>
  <si>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</si>
  <si>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</si>
  <si>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</si>
  <si>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</si>
  <si>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</si>
  <si>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</si>
  <si>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</si>
  <si>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</si>
  <si>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</si>
  <si>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</si>
  <si>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</si>
  <si>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</si>
  <si>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</si>
  <si>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</si>
  <si>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</si>
  <si>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</si>
  <si>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</si>
  <si>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</si>
  <si>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</si>
  <si>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</si>
  <si>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</si>
  <si>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</si>
  <si>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</si>
  <si>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</si>
  <si>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</si>
  <si>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</si>
  <si>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</si>
  <si>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</si>
  <si>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</si>
  <si>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</si>
  <si>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</si>
  <si>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</si>
  <si>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</si>
  <si>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</si>
  <si>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</si>
  <si>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</si>
  <si>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</si>
  <si>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</si>
  <si>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</si>
  <si>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</si>
  <si>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</si>
  <si>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</si>
  <si>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</si>
  <si>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</si>
  <si>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</si>
  <si>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</si>
  <si>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</si>
  <si>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</si>
  <si>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</si>
  <si>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</si>
  <si>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</si>
  <si>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</si>
  <si>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</si>
  <si>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</si>
  <si>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</si>
  <si>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</si>
  <si>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</si>
  <si>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</si>
  <si>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</si>
  <si>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</si>
  <si>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</si>
  <si>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</si>
  <si>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</si>
  <si>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</si>
  <si>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</si>
  <si>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</si>
  <si>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</si>
  <si>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</si>
  <si>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</si>
  <si>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</si>
  <si>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</si>
  <si>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</si>
  <si>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</si>
  <si>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</si>
  <si>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</si>
  <si>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</si>
  <si>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</si>
  <si>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</si>
  <si>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</si>
  <si>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</si>
  <si>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</si>
  <si>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</si>
  <si>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</si>
  <si>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</si>
  <si>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</si>
  <si>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</si>
  <si>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</si>
  <si>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</si>
  <si>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</si>
  <si>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</si>
  <si>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</si>
  <si>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</si>
  <si>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</si>
  <si>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</si>
  <si>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</si>
  <si>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</si>
  <si>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</si>
  <si>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</si>
  <si>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</si>
  <si>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</si>
  <si>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</si>
  <si>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</si>
  <si>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</si>
  <si>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</si>
  <si>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</si>
  <si>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</si>
  <si>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</si>
  <si>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</si>
  <si>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</si>
  <si>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</si>
  <si>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</si>
  <si>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</si>
  <si>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</si>
  <si>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</si>
  <si>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</si>
  <si>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</si>
  <si>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</si>
  <si>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</si>
  <si>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</si>
  <si>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</si>
  <si>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</si>
  <si>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</si>
  <si>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</si>
  <si>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</si>
  <si>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</si>
  <si>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</si>
  <si>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</si>
  <si>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</si>
  <si>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</si>
  <si>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</si>
  <si>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</si>
  <si>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</si>
  <si>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</si>
  <si>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</si>
  <si>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</si>
  <si>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</si>
  <si>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</si>
  <si>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</si>
  <si>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</si>
  <si>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</si>
  <si>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</si>
  <si>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</si>
  <si>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</si>
  <si>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</si>
  <si>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</si>
  <si>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</si>
  <si>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</si>
  <si>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</si>
  <si>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</si>
  <si>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</si>
  <si>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</si>
  <si>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</si>
  <si>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</si>
  <si>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</si>
  <si>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</si>
  <si>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</si>
  <si>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</si>
  <si>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</si>
  <si>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</si>
  <si>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</si>
  <si>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</si>
  <si>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</si>
  <si>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</si>
  <si>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</si>
  <si>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</si>
  <si>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</si>
  <si>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</si>
  <si>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</si>
  <si>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</si>
  <si>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</si>
  <si>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</si>
  <si>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</si>
  <si>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</si>
  <si>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</si>
  <si>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</si>
  <si>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</si>
  <si>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</si>
  <si>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</si>
  <si>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</si>
  <si>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</si>
  <si>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</si>
  <si>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</si>
  <si>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</si>
  <si>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</si>
  <si>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</si>
  <si>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</si>
  <si>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</si>
  <si>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</si>
  <si>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</si>
  <si>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</si>
  <si>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</si>
  <si>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</si>
  <si>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</si>
  <si>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</si>
  <si>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</si>
  <si>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</si>
  <si>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</si>
  <si>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</si>
  <si>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</si>
  <si>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</si>
  <si>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</si>
  <si>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</si>
  <si>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</si>
  <si>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</si>
  <si>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</si>
  <si>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</si>
  <si>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</si>
  <si>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</si>
  <si>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</si>
  <si>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</si>
  <si>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</si>
  <si>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</si>
  <si>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</si>
  <si>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</si>
  <si>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</si>
  <si>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</si>
  <si>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</si>
  <si>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</si>
  <si>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</si>
  <si>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</si>
  <si>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</si>
  <si>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</si>
  <si>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</si>
  <si>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</si>
  <si>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</si>
  <si>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</si>
  <si>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</si>
  <si>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</si>
  <si>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</si>
  <si>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</si>
  <si>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</si>
  <si>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</si>
  <si>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</si>
  <si>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</si>
  <si>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</si>
  <si>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</si>
  <si>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</si>
  <si>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</si>
  <si>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</si>
  <si>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</si>
  <si>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</si>
  <si>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Claremont School District</t>
  </si>
  <si>
    <t>08/13</t>
  </si>
  <si>
    <t>08/33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</si>
</sst>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101</v>
      </c>
      <c r="C2" s="21">
        <v>101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1613369+130101</f>
        <v>1743470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535771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75072</v>
      </c>
      <c r="G13" s="18">
        <v>22627</v>
      </c>
      <c r="H13" s="18">
        <f>891831+2984</f>
        <v>894815</v>
      </c>
      <c r="I13" s="18"/>
      <c r="J13" s="67">
        <f>SUM(I442)</f>
        <v>494009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16157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11099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f>410+2983</f>
        <v>3393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2373863</v>
      </c>
      <c r="G19" s="41">
        <f>SUM(G9:G18)</f>
        <v>33726</v>
      </c>
      <c r="H19" s="41">
        <f>SUM(H9:H18)</f>
        <v>894815</v>
      </c>
      <c r="I19" s="41">
        <f>SUM(I9:I18)</f>
        <v>0</v>
      </c>
      <c r="J19" s="41">
        <f>SUM(J9:J18)</f>
        <v>494009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18207</v>
      </c>
      <c r="H22" s="18">
        <v>517564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1167598</v>
      </c>
      <c r="G24" s="18">
        <v>5207</v>
      </c>
      <c r="H24" s="18">
        <v>204881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>
        <v>5961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503267</v>
      </c>
      <c r="G29" s="18">
        <v>4351</v>
      </c>
      <c r="H29" s="18">
        <v>85188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17130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1670865</v>
      </c>
      <c r="G32" s="41">
        <f>SUM(G22:G31)</f>
        <v>33726</v>
      </c>
      <c r="H32" s="41">
        <f>SUM(H22:H31)</f>
        <v>824763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197765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178904</v>
      </c>
      <c r="G48" s="18"/>
      <c r="H48" s="18">
        <f>894815-824763</f>
        <v>70052</v>
      </c>
      <c r="I48" s="18"/>
      <c r="J48" s="13">
        <f>SUM(I459)</f>
        <v>494009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326329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702998</v>
      </c>
      <c r="G51" s="41">
        <f>SUM(G35:G50)</f>
        <v>0</v>
      </c>
      <c r="H51" s="41">
        <f>SUM(H35:H50)</f>
        <v>70052</v>
      </c>
      <c r="I51" s="41">
        <f>SUM(I35:I50)</f>
        <v>0</v>
      </c>
      <c r="J51" s="41">
        <f>SUM(J35:J50)</f>
        <v>494009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2373863</v>
      </c>
      <c r="G52" s="41">
        <f>G51+G32</f>
        <v>33726</v>
      </c>
      <c r="H52" s="41">
        <f>H51+H32</f>
        <v>894815</v>
      </c>
      <c r="I52" s="41">
        <f>I51+I32</f>
        <v>0</v>
      </c>
      <c r="J52" s="41">
        <f>J51+J32</f>
        <v>494009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15602193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15602193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3600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15418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503846+3042</f>
        <v>506888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525906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7098</v>
      </c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7098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59875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84141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39667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38359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217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45685</v>
      </c>
      <c r="G110" s="18"/>
      <c r="H110" s="18">
        <v>4683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183803</v>
      </c>
      <c r="G111" s="41">
        <f>SUM(G96:G110)</f>
        <v>84141</v>
      </c>
      <c r="H111" s="41">
        <f>SUM(H96:H110)</f>
        <v>4683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16319000</v>
      </c>
      <c r="G112" s="41">
        <f>G60+G111</f>
        <v>84141</v>
      </c>
      <c r="H112" s="41">
        <f>H60+H79+H94+H111</f>
        <v>4683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12411431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1644742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14056173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459821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7098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4604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8786+939</f>
        <v>9725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471523</v>
      </c>
      <c r="G136" s="41">
        <f>SUM(G123:G135)</f>
        <v>9725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>
        <v>18344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14527696</v>
      </c>
      <c r="G140" s="41">
        <f>G121+SUM(G136:G137)</f>
        <v>9725</v>
      </c>
      <c r="H140" s="41">
        <f>H121+SUM(H136:H139)</f>
        <v>18344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59218</v>
      </c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59218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947576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276014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77555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110538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427691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530642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540766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540766</v>
      </c>
      <c r="G162" s="41">
        <f>SUM(G150:G161)</f>
        <v>427691</v>
      </c>
      <c r="H162" s="41">
        <f>SUM(H150:H161)</f>
        <v>1942325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599984</v>
      </c>
      <c r="G169" s="41">
        <f>G147+G162+SUM(G163:G168)</f>
        <v>427691</v>
      </c>
      <c r="H169" s="41">
        <f>H147+H162+SUM(H163:H168)</f>
        <v>1942325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73127</v>
      </c>
      <c r="H179" s="18"/>
      <c r="I179" s="18"/>
      <c r="J179" s="18">
        <v>100000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73127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73127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31446680</v>
      </c>
      <c r="G193" s="47">
        <f>G112+G140+G169+G192</f>
        <v>594684</v>
      </c>
      <c r="H193" s="47">
        <f>H112+H140+H169+H192</f>
        <v>1965352</v>
      </c>
      <c r="I193" s="47">
        <f>I112+I140+I169+I192</f>
        <v>0</v>
      </c>
      <c r="J193" s="47">
        <f>J112+J140+J192</f>
        <v>100000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3033036</v>
      </c>
      <c r="G197" s="18">
        <v>1791990</v>
      </c>
      <c r="H197" s="18">
        <v>60838</v>
      </c>
      <c r="I197" s="18">
        <v>205639</v>
      </c>
      <c r="J197" s="18">
        <v>49584</v>
      </c>
      <c r="K197" s="18">
        <v>90</v>
      </c>
      <c r="L197" s="19">
        <f>SUM(F197:K197)</f>
        <v>5141177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1832952</v>
      </c>
      <c r="G198" s="18">
        <v>668845</v>
      </c>
      <c r="H198" s="18">
        <v>564179</v>
      </c>
      <c r="I198" s="18">
        <v>46018</v>
      </c>
      <c r="J198" s="18">
        <v>6607</v>
      </c>
      <c r="K198" s="18"/>
      <c r="L198" s="19">
        <f>SUM(F198:K198)</f>
        <v>3118601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399664</v>
      </c>
      <c r="G202" s="18">
        <v>237681</v>
      </c>
      <c r="H202" s="18">
        <v>9381</v>
      </c>
      <c r="I202" s="18">
        <v>7625</v>
      </c>
      <c r="J202" s="18">
        <v>673</v>
      </c>
      <c r="K202" s="18">
        <v>0</v>
      </c>
      <c r="L202" s="19">
        <f t="shared" ref="L202:L208" si="0">SUM(F202:K202)</f>
        <v>655024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162780</v>
      </c>
      <c r="G203" s="18">
        <v>79650</v>
      </c>
      <c r="H203" s="18">
        <v>84255</v>
      </c>
      <c r="I203" s="18">
        <v>30601</v>
      </c>
      <c r="J203" s="18">
        <v>187203</v>
      </c>
      <c r="K203" s="18"/>
      <c r="L203" s="19">
        <f t="shared" si="0"/>
        <v>544489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3749</v>
      </c>
      <c r="G204" s="18">
        <v>311</v>
      </c>
      <c r="H204" s="18">
        <f>804187+7967</f>
        <v>812154</v>
      </c>
      <c r="I204" s="18">
        <v>651</v>
      </c>
      <c r="J204" s="18"/>
      <c r="K204" s="18">
        <v>15345</v>
      </c>
      <c r="L204" s="19">
        <f t="shared" si="0"/>
        <v>832210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681840</v>
      </c>
      <c r="G205" s="18">
        <v>411424</v>
      </c>
      <c r="H205" s="18">
        <v>8459</v>
      </c>
      <c r="I205" s="18">
        <v>3780</v>
      </c>
      <c r="J205" s="18">
        <v>4876</v>
      </c>
      <c r="K205" s="18">
        <v>6811</v>
      </c>
      <c r="L205" s="19">
        <f t="shared" si="0"/>
        <v>1117190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334569</v>
      </c>
      <c r="G207" s="18">
        <v>160230</v>
      </c>
      <c r="H207" s="18">
        <v>654546</v>
      </c>
      <c r="I207" s="18">
        <v>184243</v>
      </c>
      <c r="J207" s="18">
        <v>1480</v>
      </c>
      <c r="K207" s="18"/>
      <c r="L207" s="19">
        <f t="shared" si="0"/>
        <v>1335068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219336</v>
      </c>
      <c r="G208" s="18">
        <v>75830</v>
      </c>
      <c r="H208" s="18">
        <v>142962</v>
      </c>
      <c r="I208" s="18">
        <v>24693</v>
      </c>
      <c r="J208" s="18">
        <v>28295</v>
      </c>
      <c r="K208" s="18">
        <v>531</v>
      </c>
      <c r="L208" s="19">
        <f t="shared" si="0"/>
        <v>491647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23534</v>
      </c>
      <c r="G209" s="18">
        <v>3257</v>
      </c>
      <c r="H209" s="18"/>
      <c r="I209" s="18"/>
      <c r="J209" s="18"/>
      <c r="K209" s="18"/>
      <c r="L209" s="19">
        <f>SUM(F209:K209)</f>
        <v>26791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6691460</v>
      </c>
      <c r="G211" s="41">
        <f t="shared" si="1"/>
        <v>3429218</v>
      </c>
      <c r="H211" s="41">
        <f t="shared" si="1"/>
        <v>2336774</v>
      </c>
      <c r="I211" s="41">
        <f t="shared" si="1"/>
        <v>503250</v>
      </c>
      <c r="J211" s="41">
        <f t="shared" si="1"/>
        <v>278718</v>
      </c>
      <c r="K211" s="41">
        <f t="shared" si="1"/>
        <v>22777</v>
      </c>
      <c r="L211" s="41">
        <f t="shared" si="1"/>
        <v>13262197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1261287</v>
      </c>
      <c r="G215" s="18">
        <v>726752</v>
      </c>
      <c r="H215" s="18">
        <v>28915</v>
      </c>
      <c r="I215" s="18">
        <v>102827</v>
      </c>
      <c r="J215" s="18">
        <v>31513</v>
      </c>
      <c r="K215" s="18">
        <v>985</v>
      </c>
      <c r="L215" s="19">
        <f>SUM(F215:K215)</f>
        <v>2152279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648189</v>
      </c>
      <c r="G216" s="18">
        <v>247123</v>
      </c>
      <c r="H216" s="18">
        <v>653517</v>
      </c>
      <c r="I216" s="18">
        <v>7542</v>
      </c>
      <c r="J216" s="18">
        <v>2453</v>
      </c>
      <c r="K216" s="18"/>
      <c r="L216" s="19">
        <f>SUM(F216:K216)</f>
        <v>1558824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135795</v>
      </c>
      <c r="G217" s="18">
        <v>84257</v>
      </c>
      <c r="H217" s="18">
        <v>800</v>
      </c>
      <c r="I217" s="18">
        <v>10522</v>
      </c>
      <c r="J217" s="18">
        <v>3901</v>
      </c>
      <c r="K217" s="18"/>
      <c r="L217" s="19">
        <f>SUM(F217:K217)</f>
        <v>235275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48526</v>
      </c>
      <c r="G218" s="18">
        <v>5025</v>
      </c>
      <c r="H218" s="18">
        <v>6932</v>
      </c>
      <c r="I218" s="18">
        <v>3745</v>
      </c>
      <c r="J218" s="18">
        <v>0</v>
      </c>
      <c r="K218" s="18">
        <v>1180</v>
      </c>
      <c r="L218" s="19">
        <f>SUM(F218:K218)</f>
        <v>65408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255308</v>
      </c>
      <c r="G220" s="18">
        <v>132583</v>
      </c>
      <c r="H220" s="18">
        <v>4388</v>
      </c>
      <c r="I220" s="18">
        <v>5702</v>
      </c>
      <c r="J220" s="18">
        <v>959</v>
      </c>
      <c r="K220" s="18">
        <v>0</v>
      </c>
      <c r="L220" s="19">
        <f t="shared" ref="L220:L226" si="2">SUM(F220:K220)</f>
        <v>398940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100701</v>
      </c>
      <c r="G221" s="18">
        <v>56032</v>
      </c>
      <c r="H221" s="18">
        <v>40123</v>
      </c>
      <c r="I221" s="18">
        <v>8356</v>
      </c>
      <c r="J221" s="18">
        <v>122386</v>
      </c>
      <c r="K221" s="18"/>
      <c r="L221" s="19">
        <f t="shared" si="2"/>
        <v>327598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1753</v>
      </c>
      <c r="G222" s="18">
        <v>145</v>
      </c>
      <c r="H222" s="18">
        <f>376169+3727</f>
        <v>379896</v>
      </c>
      <c r="I222" s="18">
        <v>305</v>
      </c>
      <c r="J222" s="18">
        <v>0</v>
      </c>
      <c r="K222" s="18">
        <v>7178</v>
      </c>
      <c r="L222" s="19">
        <f t="shared" si="2"/>
        <v>389277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269510</v>
      </c>
      <c r="G223" s="18">
        <v>130556</v>
      </c>
      <c r="H223" s="18">
        <v>9125</v>
      </c>
      <c r="I223" s="18">
        <v>2951</v>
      </c>
      <c r="J223" s="18">
        <v>3620</v>
      </c>
      <c r="K223" s="18">
        <v>1364</v>
      </c>
      <c r="L223" s="19">
        <f t="shared" si="2"/>
        <v>417126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170642</v>
      </c>
      <c r="G225" s="18">
        <v>95515</v>
      </c>
      <c r="H225" s="18">
        <v>245212</v>
      </c>
      <c r="I225" s="18">
        <v>113101</v>
      </c>
      <c r="J225" s="18">
        <v>281</v>
      </c>
      <c r="K225" s="18"/>
      <c r="L225" s="19">
        <f t="shared" si="2"/>
        <v>624751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102597</v>
      </c>
      <c r="G226" s="18">
        <v>35471</v>
      </c>
      <c r="H226" s="18">
        <v>128838</v>
      </c>
      <c r="I226" s="18">
        <v>11550</v>
      </c>
      <c r="J226" s="18">
        <v>13235</v>
      </c>
      <c r="K226" s="18">
        <v>249</v>
      </c>
      <c r="L226" s="19">
        <f t="shared" si="2"/>
        <v>291940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11009</v>
      </c>
      <c r="G227" s="18">
        <v>1523</v>
      </c>
      <c r="H227" s="18"/>
      <c r="I227" s="18"/>
      <c r="J227" s="18"/>
      <c r="K227" s="18"/>
      <c r="L227" s="19">
        <f>SUM(F227:K227)</f>
        <v>12532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3005317</v>
      </c>
      <c r="G229" s="41">
        <f>SUM(G215:G228)</f>
        <v>1514982</v>
      </c>
      <c r="H229" s="41">
        <f>SUM(H215:H228)</f>
        <v>1497746</v>
      </c>
      <c r="I229" s="41">
        <f>SUM(I215:I228)</f>
        <v>266601</v>
      </c>
      <c r="J229" s="41">
        <f>SUM(J215:J228)</f>
        <v>178348</v>
      </c>
      <c r="K229" s="41">
        <f t="shared" si="3"/>
        <v>10956</v>
      </c>
      <c r="L229" s="41">
        <f t="shared" si="3"/>
        <v>6473950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1903430</v>
      </c>
      <c r="G233" s="18">
        <v>1088236</v>
      </c>
      <c r="H233" s="18">
        <v>112368</v>
      </c>
      <c r="I233" s="18">
        <v>228930</v>
      </c>
      <c r="J233" s="18">
        <v>20467</v>
      </c>
      <c r="K233" s="18">
        <v>15272</v>
      </c>
      <c r="L233" s="19">
        <f>SUM(F233:K233)</f>
        <v>3368703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765770</v>
      </c>
      <c r="G234" s="18">
        <v>365010</v>
      </c>
      <c r="H234" s="18">
        <v>1167570</v>
      </c>
      <c r="I234" s="18">
        <v>21520</v>
      </c>
      <c r="J234" s="18">
        <v>2510</v>
      </c>
      <c r="K234" s="18"/>
      <c r="L234" s="19">
        <f>SUM(F234:K234)</f>
        <v>2322380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337960</v>
      </c>
      <c r="G235" s="18">
        <v>146249</v>
      </c>
      <c r="H235" s="18">
        <v>17283</v>
      </c>
      <c r="I235" s="18">
        <v>52754</v>
      </c>
      <c r="J235" s="18">
        <v>425</v>
      </c>
      <c r="K235" s="18"/>
      <c r="L235" s="19">
        <f>SUM(F235:K235)</f>
        <v>554671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195561</v>
      </c>
      <c r="G236" s="18">
        <v>56397</v>
      </c>
      <c r="H236" s="18">
        <v>96191</v>
      </c>
      <c r="I236" s="18">
        <v>21870</v>
      </c>
      <c r="J236" s="18">
        <v>14876</v>
      </c>
      <c r="K236" s="18">
        <v>18341</v>
      </c>
      <c r="L236" s="19">
        <f>SUM(F236:K236)</f>
        <v>403236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365882</v>
      </c>
      <c r="G238" s="18">
        <v>181525</v>
      </c>
      <c r="H238" s="18">
        <v>6921</v>
      </c>
      <c r="I238" s="18">
        <v>8603</v>
      </c>
      <c r="J238" s="18">
        <v>337</v>
      </c>
      <c r="K238" s="18">
        <v>961</v>
      </c>
      <c r="L238" s="19">
        <f t="shared" ref="L238:L244" si="4">SUM(F238:K238)</f>
        <v>564229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108181</v>
      </c>
      <c r="G239" s="18">
        <v>38828</v>
      </c>
      <c r="H239" s="18">
        <v>49921</v>
      </c>
      <c r="I239" s="18">
        <v>18152</v>
      </c>
      <c r="J239" s="18">
        <v>176693</v>
      </c>
      <c r="K239" s="18"/>
      <c r="L239" s="19">
        <f t="shared" si="4"/>
        <v>391775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2448</v>
      </c>
      <c r="G240" s="18">
        <v>203</v>
      </c>
      <c r="H240" s="18">
        <f>525193+5203</f>
        <v>530396</v>
      </c>
      <c r="I240" s="18">
        <v>425</v>
      </c>
      <c r="J240" s="18">
        <v>0</v>
      </c>
      <c r="K240" s="18">
        <v>10022</v>
      </c>
      <c r="L240" s="19">
        <f t="shared" si="4"/>
        <v>543494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483309</v>
      </c>
      <c r="G241" s="18">
        <v>219200</v>
      </c>
      <c r="H241" s="18">
        <v>6188</v>
      </c>
      <c r="I241" s="18">
        <v>3873</v>
      </c>
      <c r="J241" s="18">
        <v>0</v>
      </c>
      <c r="K241" s="18">
        <v>18281</v>
      </c>
      <c r="L241" s="19">
        <f t="shared" si="4"/>
        <v>730851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325770</v>
      </c>
      <c r="G243" s="18">
        <v>132785</v>
      </c>
      <c r="H243" s="18">
        <v>374435</v>
      </c>
      <c r="I243" s="18">
        <v>235852</v>
      </c>
      <c r="J243" s="18">
        <v>13461</v>
      </c>
      <c r="K243" s="18"/>
      <c r="L243" s="19">
        <f t="shared" si="4"/>
        <v>1082303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143804</v>
      </c>
      <c r="G244" s="18">
        <v>49627</v>
      </c>
      <c r="H244" s="18">
        <v>101750</v>
      </c>
      <c r="I244" s="18">
        <v>16126</v>
      </c>
      <c r="J244" s="18">
        <v>18479</v>
      </c>
      <c r="K244" s="18">
        <v>347</v>
      </c>
      <c r="L244" s="19">
        <f t="shared" si="4"/>
        <v>330133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15370</v>
      </c>
      <c r="G245" s="18">
        <v>2127</v>
      </c>
      <c r="H245" s="18"/>
      <c r="I245" s="18"/>
      <c r="J245" s="18"/>
      <c r="K245" s="18"/>
      <c r="L245" s="19">
        <f>SUM(F245:K245)</f>
        <v>17497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4647485</v>
      </c>
      <c r="G247" s="41">
        <f t="shared" si="5"/>
        <v>2280187</v>
      </c>
      <c r="H247" s="41">
        <f t="shared" si="5"/>
        <v>2463023</v>
      </c>
      <c r="I247" s="41">
        <f t="shared" si="5"/>
        <v>608105</v>
      </c>
      <c r="J247" s="41">
        <f t="shared" si="5"/>
        <v>247248</v>
      </c>
      <c r="K247" s="41">
        <f t="shared" si="5"/>
        <v>63224</v>
      </c>
      <c r="L247" s="41">
        <f t="shared" si="5"/>
        <v>10309272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65446</v>
      </c>
      <c r="G251" s="18">
        <v>27573</v>
      </c>
      <c r="H251" s="18">
        <v>1596</v>
      </c>
      <c r="I251" s="18"/>
      <c r="J251" s="18"/>
      <c r="K251" s="18"/>
      <c r="L251" s="19">
        <f t="shared" si="6"/>
        <v>94615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5648</v>
      </c>
      <c r="G253" s="18">
        <v>432</v>
      </c>
      <c r="H253" s="18">
        <v>2916</v>
      </c>
      <c r="I253" s="18"/>
      <c r="J253" s="18"/>
      <c r="K253" s="18"/>
      <c r="L253" s="19">
        <f t="shared" si="6"/>
        <v>8996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71094</v>
      </c>
      <c r="G256" s="41">
        <f t="shared" si="7"/>
        <v>28005</v>
      </c>
      <c r="H256" s="41">
        <f t="shared" si="7"/>
        <v>4512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103611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14415356</v>
      </c>
      <c r="G257" s="41">
        <f t="shared" si="8"/>
        <v>7252392</v>
      </c>
      <c r="H257" s="41">
        <f t="shared" si="8"/>
        <v>6302055</v>
      </c>
      <c r="I257" s="41">
        <f t="shared" si="8"/>
        <v>1377956</v>
      </c>
      <c r="J257" s="41">
        <f t="shared" si="8"/>
        <v>704314</v>
      </c>
      <c r="K257" s="41">
        <f t="shared" si="8"/>
        <v>96957</v>
      </c>
      <c r="L257" s="41">
        <f t="shared" si="8"/>
        <v>30149030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661631</v>
      </c>
      <c r="L260" s="19">
        <f>SUM(F260:K260)</f>
        <v>661631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643929</v>
      </c>
      <c r="L261" s="19">
        <f>SUM(F261:K261)</f>
        <v>643929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73127</v>
      </c>
      <c r="L263" s="19">
        <f>SUM(F263:K263)</f>
        <v>73127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1478687</v>
      </c>
      <c r="L270" s="41">
        <f t="shared" si="9"/>
        <v>1478687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14415356</v>
      </c>
      <c r="G271" s="42">
        <f t="shared" si="11"/>
        <v>7252392</v>
      </c>
      <c r="H271" s="42">
        <f t="shared" si="11"/>
        <v>6302055</v>
      </c>
      <c r="I271" s="42">
        <f t="shared" si="11"/>
        <v>1377956</v>
      </c>
      <c r="J271" s="42">
        <f t="shared" si="11"/>
        <v>704314</v>
      </c>
      <c r="K271" s="42">
        <f t="shared" si="11"/>
        <v>1575644</v>
      </c>
      <c r="L271" s="42">
        <f t="shared" si="11"/>
        <v>31627717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365263</v>
      </c>
      <c r="G276" s="18">
        <v>251257</v>
      </c>
      <c r="H276" s="18">
        <v>4318</v>
      </c>
      <c r="I276" s="18">
        <v>59152</v>
      </c>
      <c r="J276" s="18">
        <v>36993</v>
      </c>
      <c r="K276" s="18">
        <v>0</v>
      </c>
      <c r="L276" s="19">
        <f>SUM(F276:K276)</f>
        <v>716983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147494</v>
      </c>
      <c r="G277" s="18">
        <v>75761</v>
      </c>
      <c r="H277" s="18">
        <v>236</v>
      </c>
      <c r="I277" s="18"/>
      <c r="J277" s="18">
        <v>9393</v>
      </c>
      <c r="K277" s="18">
        <v>0</v>
      </c>
      <c r="L277" s="19">
        <f>SUM(F277:K277)</f>
        <v>232884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33560</v>
      </c>
      <c r="G281" s="18">
        <v>6230</v>
      </c>
      <c r="H281" s="18">
        <v>26824</v>
      </c>
      <c r="I281" s="18">
        <v>17976</v>
      </c>
      <c r="J281" s="18">
        <v>1462</v>
      </c>
      <c r="K281" s="18"/>
      <c r="L281" s="19">
        <f t="shared" ref="L281:L287" si="12">SUM(F281:K281)</f>
        <v>86052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37875</v>
      </c>
      <c r="G282" s="18">
        <v>5642</v>
      </c>
      <c r="H282" s="18">
        <v>135304</v>
      </c>
      <c r="I282" s="18">
        <v>4382</v>
      </c>
      <c r="J282" s="18"/>
      <c r="K282" s="18">
        <v>1095</v>
      </c>
      <c r="L282" s="19">
        <f t="shared" si="12"/>
        <v>184298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2365</v>
      </c>
      <c r="G283" s="18">
        <v>548</v>
      </c>
      <c r="H283" s="18">
        <v>49</v>
      </c>
      <c r="I283" s="18">
        <v>0</v>
      </c>
      <c r="J283" s="18">
        <v>49612</v>
      </c>
      <c r="K283" s="18"/>
      <c r="L283" s="19">
        <f t="shared" si="12"/>
        <v>52574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11490</v>
      </c>
      <c r="G288" s="18">
        <v>3949</v>
      </c>
      <c r="H288" s="18"/>
      <c r="I288" s="18">
        <v>200</v>
      </c>
      <c r="J288" s="18"/>
      <c r="K288" s="18"/>
      <c r="L288" s="19">
        <f>SUM(F288:K288)</f>
        <v>15639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598047</v>
      </c>
      <c r="G290" s="42">
        <f t="shared" si="13"/>
        <v>343387</v>
      </c>
      <c r="H290" s="42">
        <f t="shared" si="13"/>
        <v>166731</v>
      </c>
      <c r="I290" s="42">
        <f t="shared" si="13"/>
        <v>81710</v>
      </c>
      <c r="J290" s="42">
        <f t="shared" si="13"/>
        <v>97460</v>
      </c>
      <c r="K290" s="42">
        <f t="shared" si="13"/>
        <v>1095</v>
      </c>
      <c r="L290" s="41">
        <f t="shared" si="13"/>
        <v>1288430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v>56</v>
      </c>
      <c r="J295" s="18"/>
      <c r="K295" s="18"/>
      <c r="L295" s="19">
        <f>SUM(F295:K295)</f>
        <v>56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68747</v>
      </c>
      <c r="G296" s="18">
        <v>35388</v>
      </c>
      <c r="H296" s="18">
        <v>110</v>
      </c>
      <c r="I296" s="18">
        <v>0</v>
      </c>
      <c r="J296" s="18">
        <v>4394</v>
      </c>
      <c r="K296" s="18"/>
      <c r="L296" s="19">
        <f>SUM(F296:K296)</f>
        <v>108639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>
        <v>758</v>
      </c>
      <c r="I298" s="18">
        <v>4090</v>
      </c>
      <c r="J298" s="18"/>
      <c r="K298" s="18"/>
      <c r="L298" s="19">
        <f>SUM(F298:K298)</f>
        <v>4848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11371</v>
      </c>
      <c r="G300" s="18">
        <v>2120</v>
      </c>
      <c r="H300" s="18">
        <v>9785</v>
      </c>
      <c r="I300" s="18">
        <v>1198</v>
      </c>
      <c r="J300" s="18">
        <v>684</v>
      </c>
      <c r="K300" s="18"/>
      <c r="L300" s="19">
        <f t="shared" ref="L300:L306" si="14">SUM(F300:K300)</f>
        <v>25158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15004</v>
      </c>
      <c r="G301" s="18">
        <v>2147</v>
      </c>
      <c r="H301" s="18">
        <v>27168</v>
      </c>
      <c r="I301" s="18">
        <v>2021</v>
      </c>
      <c r="J301" s="18"/>
      <c r="K301" s="18">
        <v>512</v>
      </c>
      <c r="L301" s="19">
        <f t="shared" si="14"/>
        <v>46852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1106</v>
      </c>
      <c r="G302" s="18">
        <v>256</v>
      </c>
      <c r="H302" s="18">
        <v>23</v>
      </c>
      <c r="I302" s="18"/>
      <c r="J302" s="18"/>
      <c r="K302" s="18"/>
      <c r="L302" s="19">
        <f t="shared" si="14"/>
        <v>1385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v>21814</v>
      </c>
      <c r="L304" s="19">
        <f t="shared" si="14"/>
        <v>21814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5374</v>
      </c>
      <c r="G307" s="18">
        <v>1847</v>
      </c>
      <c r="H307" s="18"/>
      <c r="I307" s="18">
        <v>93</v>
      </c>
      <c r="J307" s="18"/>
      <c r="K307" s="18"/>
      <c r="L307" s="19">
        <f>SUM(F307:K307)</f>
        <v>7314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101602</v>
      </c>
      <c r="G309" s="42">
        <f t="shared" si="15"/>
        <v>41758</v>
      </c>
      <c r="H309" s="42">
        <f t="shared" si="15"/>
        <v>37844</v>
      </c>
      <c r="I309" s="42">
        <f t="shared" si="15"/>
        <v>7458</v>
      </c>
      <c r="J309" s="42">
        <f t="shared" si="15"/>
        <v>5078</v>
      </c>
      <c r="K309" s="42">
        <f t="shared" si="15"/>
        <v>22326</v>
      </c>
      <c r="L309" s="41">
        <f t="shared" si="15"/>
        <v>216066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v>78</v>
      </c>
      <c r="J314" s="18"/>
      <c r="K314" s="18"/>
      <c r="L314" s="19">
        <f>SUM(F314:K314)</f>
        <v>78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95982</v>
      </c>
      <c r="G315" s="18">
        <v>49408</v>
      </c>
      <c r="H315" s="18">
        <v>164</v>
      </c>
      <c r="I315" s="18">
        <v>0</v>
      </c>
      <c r="J315" s="18">
        <v>6134</v>
      </c>
      <c r="K315" s="18"/>
      <c r="L315" s="19">
        <f>SUM(F315:K315)</f>
        <v>151688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800</v>
      </c>
      <c r="G316" s="18">
        <v>155</v>
      </c>
      <c r="H316" s="18"/>
      <c r="I316" s="18">
        <v>7692</v>
      </c>
      <c r="J316" s="18">
        <v>35463</v>
      </c>
      <c r="K316" s="18"/>
      <c r="L316" s="19">
        <f>SUM(F316:K316)</f>
        <v>44110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40916</v>
      </c>
      <c r="G319" s="18">
        <v>11263</v>
      </c>
      <c r="H319" s="18">
        <v>87099</v>
      </c>
      <c r="I319" s="18">
        <v>5239</v>
      </c>
      <c r="J319" s="18">
        <v>955</v>
      </c>
      <c r="K319" s="18">
        <v>105902</v>
      </c>
      <c r="L319" s="19">
        <f t="shared" ref="L319:L325" si="16">SUM(F319:K319)</f>
        <v>251374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20948</v>
      </c>
      <c r="G320" s="18">
        <v>2997</v>
      </c>
      <c r="H320" s="18">
        <v>61686</v>
      </c>
      <c r="I320" s="18">
        <v>2821</v>
      </c>
      <c r="J320" s="18"/>
      <c r="K320" s="18">
        <v>715</v>
      </c>
      <c r="L320" s="19">
        <f t="shared" si="16"/>
        <v>89167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22545</v>
      </c>
      <c r="G321" s="18">
        <v>8300</v>
      </c>
      <c r="H321" s="18">
        <v>356</v>
      </c>
      <c r="I321" s="18"/>
      <c r="J321" s="18"/>
      <c r="K321" s="18"/>
      <c r="L321" s="19">
        <f t="shared" si="16"/>
        <v>31201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>
        <v>3105</v>
      </c>
      <c r="I322" s="18"/>
      <c r="J322" s="18"/>
      <c r="K322" s="18"/>
      <c r="L322" s="19">
        <f t="shared" si="16"/>
        <v>3105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>
        <v>46908</v>
      </c>
      <c r="L323" s="19">
        <f t="shared" si="16"/>
        <v>46908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313</v>
      </c>
      <c r="I324" s="18"/>
      <c r="J324" s="18"/>
      <c r="K324" s="18"/>
      <c r="L324" s="19">
        <f t="shared" si="16"/>
        <v>313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7506</v>
      </c>
      <c r="G326" s="18">
        <v>2879</v>
      </c>
      <c r="H326" s="18"/>
      <c r="I326" s="18">
        <v>131</v>
      </c>
      <c r="J326" s="18"/>
      <c r="K326" s="18"/>
      <c r="L326" s="19">
        <f>SUM(F326:K326)</f>
        <v>10516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188697</v>
      </c>
      <c r="G328" s="42">
        <f t="shared" si="17"/>
        <v>75002</v>
      </c>
      <c r="H328" s="42">
        <f t="shared" si="17"/>
        <v>152723</v>
      </c>
      <c r="I328" s="42">
        <f t="shared" si="17"/>
        <v>15961</v>
      </c>
      <c r="J328" s="42">
        <f t="shared" si="17"/>
        <v>42552</v>
      </c>
      <c r="K328" s="42">
        <f t="shared" si="17"/>
        <v>153525</v>
      </c>
      <c r="L328" s="41">
        <f t="shared" si="17"/>
        <v>628460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26412</v>
      </c>
      <c r="G333" s="18">
        <v>4444</v>
      </c>
      <c r="H333" s="18"/>
      <c r="I333" s="18">
        <v>6779</v>
      </c>
      <c r="J333" s="18">
        <v>7047</v>
      </c>
      <c r="K333" s="18"/>
      <c r="L333" s="19">
        <f t="shared" si="18"/>
        <v>44682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26412</v>
      </c>
      <c r="G337" s="41">
        <f t="shared" si="19"/>
        <v>4444</v>
      </c>
      <c r="H337" s="41">
        <f t="shared" si="19"/>
        <v>0</v>
      </c>
      <c r="I337" s="41">
        <f t="shared" si="19"/>
        <v>6779</v>
      </c>
      <c r="J337" s="41">
        <f t="shared" si="19"/>
        <v>7047</v>
      </c>
      <c r="K337" s="41">
        <f t="shared" si="19"/>
        <v>0</v>
      </c>
      <c r="L337" s="41">
        <f t="shared" si="18"/>
        <v>44682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914758</v>
      </c>
      <c r="G338" s="41">
        <f t="shared" si="20"/>
        <v>464591</v>
      </c>
      <c r="H338" s="41">
        <f t="shared" si="20"/>
        <v>357298</v>
      </c>
      <c r="I338" s="41">
        <f t="shared" si="20"/>
        <v>111908</v>
      </c>
      <c r="J338" s="41">
        <f t="shared" si="20"/>
        <v>152137</v>
      </c>
      <c r="K338" s="41">
        <f t="shared" si="20"/>
        <v>176946</v>
      </c>
      <c r="L338" s="41">
        <f t="shared" si="20"/>
        <v>2177638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914758</v>
      </c>
      <c r="G352" s="41">
        <f>G338</f>
        <v>464591</v>
      </c>
      <c r="H352" s="41">
        <f>H338</f>
        <v>357298</v>
      </c>
      <c r="I352" s="41">
        <f>I338</f>
        <v>111908</v>
      </c>
      <c r="J352" s="41">
        <f>J338</f>
        <v>152137</v>
      </c>
      <c r="K352" s="47">
        <f>K338+K351</f>
        <v>176946</v>
      </c>
      <c r="L352" s="41">
        <f>L338+L351</f>
        <v>2177638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109740</v>
      </c>
      <c r="G358" s="18">
        <v>20435</v>
      </c>
      <c r="H358" s="18">
        <v>7535</v>
      </c>
      <c r="I358" s="18">
        <f>11909+184214</f>
        <v>196123</v>
      </c>
      <c r="J358" s="18"/>
      <c r="K358" s="18">
        <v>61</v>
      </c>
      <c r="L358" s="13">
        <f>SUM(F358:K358)</f>
        <v>333894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45478</v>
      </c>
      <c r="G359" s="18">
        <v>9111</v>
      </c>
      <c r="H359" s="18">
        <v>3525</v>
      </c>
      <c r="I359" s="18">
        <v>72171</v>
      </c>
      <c r="J359" s="18"/>
      <c r="K359" s="18">
        <v>29</v>
      </c>
      <c r="L359" s="19">
        <f>SUM(F359:K359)</f>
        <v>130314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63495</v>
      </c>
      <c r="G360" s="18">
        <v>12721</v>
      </c>
      <c r="H360" s="18">
        <v>4921</v>
      </c>
      <c r="I360" s="18">
        <v>100762</v>
      </c>
      <c r="J360" s="18"/>
      <c r="K360" s="18">
        <v>40</v>
      </c>
      <c r="L360" s="19">
        <f>SUM(F360:K360)</f>
        <v>181939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218713</v>
      </c>
      <c r="G362" s="47">
        <f t="shared" si="22"/>
        <v>42267</v>
      </c>
      <c r="H362" s="47">
        <f t="shared" si="22"/>
        <v>15981</v>
      </c>
      <c r="I362" s="47">
        <f t="shared" si="22"/>
        <v>369056</v>
      </c>
      <c r="J362" s="47">
        <f t="shared" si="22"/>
        <v>0</v>
      </c>
      <c r="K362" s="47">
        <f t="shared" si="22"/>
        <v>130</v>
      </c>
      <c r="L362" s="47">
        <f t="shared" si="22"/>
        <v>646147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185532</v>
      </c>
      <c r="G367" s="18">
        <v>68422</v>
      </c>
      <c r="H367" s="18">
        <v>95528</v>
      </c>
      <c r="I367" s="56">
        <f>SUM(F367:H367)</f>
        <v>349482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10591</v>
      </c>
      <c r="G368" s="63">
        <v>3749</v>
      </c>
      <c r="H368" s="63">
        <v>5234</v>
      </c>
      <c r="I368" s="56">
        <f>SUM(F368:H368)</f>
        <v>19574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196123</v>
      </c>
      <c r="G369" s="47">
        <f>SUM(G367:G368)</f>
        <v>72171</v>
      </c>
      <c r="H369" s="47">
        <f>SUM(H367:H368)</f>
        <v>100762</v>
      </c>
      <c r="I369" s="47">
        <f>SUM(I367:I368)</f>
        <v>369056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737</v>
      </c>
      <c r="I376" s="18"/>
      <c r="J376" s="18"/>
      <c r="K376" s="18"/>
      <c r="L376" s="13">
        <f t="shared" si="23"/>
        <v>737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737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737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100000</v>
      </c>
      <c r="H396" s="18"/>
      <c r="I396" s="18"/>
      <c r="J396" s="24" t="s">
        <v>288</v>
      </c>
      <c r="K396" s="24" t="s">
        <v>288</v>
      </c>
      <c r="L396" s="56">
        <f t="shared" si="26"/>
        <v>100000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494009</v>
      </c>
      <c r="H442" s="18"/>
      <c r="I442" s="56">
        <f t="shared" si="33"/>
        <v>494009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494009</v>
      </c>
      <c r="H446" s="13">
        <f>SUM(H439:H445)</f>
        <v>0</v>
      </c>
      <c r="I446" s="13">
        <f>SUM(I439:I445)</f>
        <v>494009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494009</v>
      </c>
      <c r="H459" s="18"/>
      <c r="I459" s="56">
        <f t="shared" si="34"/>
        <v>494009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494009</v>
      </c>
      <c r="H460" s="83">
        <f>SUM(H454:H459)</f>
        <v>0</v>
      </c>
      <c r="I460" s="83">
        <f>SUM(I454:I459)</f>
        <v>494009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494009</v>
      </c>
      <c r="H461" s="42">
        <f>H452+H460</f>
        <v>0</v>
      </c>
      <c r="I461" s="42">
        <f>I452+I460</f>
        <v>494009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884035</v>
      </c>
      <c r="G465" s="18">
        <v>51463</v>
      </c>
      <c r="H465" s="18">
        <v>282338</v>
      </c>
      <c r="I465" s="18">
        <v>737</v>
      </c>
      <c r="J465" s="18">
        <v>394009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31446680</v>
      </c>
      <c r="G468" s="18">
        <f t="shared" ref="G468:I468" si="35">G193</f>
        <v>594684</v>
      </c>
      <c r="H468" s="18">
        <f t="shared" si="35"/>
        <v>1965352</v>
      </c>
      <c r="I468" s="18">
        <f t="shared" si="35"/>
        <v>0</v>
      </c>
      <c r="J468" s="18">
        <v>100000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31446680</v>
      </c>
      <c r="G470" s="53">
        <f>SUM(G468:G469)</f>
        <v>594684</v>
      </c>
      <c r="H470" s="53">
        <f>SUM(H468:H469)</f>
        <v>1965352</v>
      </c>
      <c r="I470" s="53">
        <f>SUM(I468:I469)</f>
        <v>0</v>
      </c>
      <c r="J470" s="53">
        <f>SUM(J468:J469)</f>
        <v>100000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31627717</v>
      </c>
      <c r="G472" s="18">
        <f>L362</f>
        <v>646147</v>
      </c>
      <c r="H472" s="18">
        <f>L352</f>
        <v>2177638</v>
      </c>
      <c r="I472" s="18">
        <f>L382</f>
        <v>737</v>
      </c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31627717</v>
      </c>
      <c r="G474" s="53">
        <f>SUM(G472:G473)</f>
        <v>646147</v>
      </c>
      <c r="H474" s="53">
        <f>SUM(H472:H473)</f>
        <v>2177638</v>
      </c>
      <c r="I474" s="53">
        <f>SUM(I472:I473)</f>
        <v>737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702998</v>
      </c>
      <c r="G476" s="53">
        <f>(G465+G470)- G474</f>
        <v>0</v>
      </c>
      <c r="H476" s="53">
        <f>(H465+H470)- H474</f>
        <v>70052</v>
      </c>
      <c r="I476" s="53">
        <f>(I465+I470)- I474</f>
        <v>0</v>
      </c>
      <c r="J476" s="53">
        <f>(J465+J470)- J474</f>
        <v>494009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11195000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3.58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11065000</v>
      </c>
      <c r="G495" s="18"/>
      <c r="H495" s="18"/>
      <c r="I495" s="18"/>
      <c r="J495" s="18"/>
      <c r="K495" s="53">
        <f>SUM(F495:J495)</f>
        <v>11065000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565000</v>
      </c>
      <c r="G497" s="18"/>
      <c r="H497" s="18"/>
      <c r="I497" s="18"/>
      <c r="J497" s="18"/>
      <c r="K497" s="53">
        <f t="shared" si="36"/>
        <v>565000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10500000</v>
      </c>
      <c r="G498" s="204"/>
      <c r="H498" s="204"/>
      <c r="I498" s="204"/>
      <c r="J498" s="204"/>
      <c r="K498" s="205">
        <f t="shared" si="36"/>
        <v>10500000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4312759</v>
      </c>
      <c r="G499" s="18"/>
      <c r="H499" s="18"/>
      <c r="I499" s="18"/>
      <c r="J499" s="18"/>
      <c r="K499" s="53">
        <f t="shared" si="36"/>
        <v>4312759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14812759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14812759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565000</v>
      </c>
      <c r="G501" s="204"/>
      <c r="H501" s="204"/>
      <c r="I501" s="204"/>
      <c r="J501" s="204"/>
      <c r="K501" s="205">
        <f t="shared" si="36"/>
        <v>565000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360327</v>
      </c>
      <c r="G502" s="18"/>
      <c r="H502" s="18"/>
      <c r="I502" s="18"/>
      <c r="J502" s="18"/>
      <c r="K502" s="53">
        <f t="shared" si="36"/>
        <v>360327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925327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925327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F198+F277</f>
        <v>1980446</v>
      </c>
      <c r="G521" s="18">
        <f t="shared" ref="G521:K521" si="37">G198+G277</f>
        <v>744606</v>
      </c>
      <c r="H521" s="18">
        <f t="shared" si="37"/>
        <v>564415</v>
      </c>
      <c r="I521" s="18">
        <f t="shared" si="37"/>
        <v>46018</v>
      </c>
      <c r="J521" s="18">
        <f t="shared" si="37"/>
        <v>16000</v>
      </c>
      <c r="K521" s="18">
        <f t="shared" si="37"/>
        <v>0</v>
      </c>
      <c r="L521" s="88">
        <f>SUM(F521:K521)</f>
        <v>3351485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F216+F296</f>
        <v>716936</v>
      </c>
      <c r="G522" s="18">
        <f t="shared" ref="G522:K522" si="38">G216+G296</f>
        <v>282511</v>
      </c>
      <c r="H522" s="18">
        <f t="shared" si="38"/>
        <v>653627</v>
      </c>
      <c r="I522" s="18">
        <f t="shared" si="38"/>
        <v>7542</v>
      </c>
      <c r="J522" s="18">
        <f t="shared" si="38"/>
        <v>6847</v>
      </c>
      <c r="K522" s="18">
        <f t="shared" si="38"/>
        <v>0</v>
      </c>
      <c r="L522" s="88">
        <f>SUM(F522:K522)</f>
        <v>1667463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F234+F315</f>
        <v>861752</v>
      </c>
      <c r="G523" s="18">
        <f t="shared" ref="G523:K523" si="39">G234+G315</f>
        <v>414418</v>
      </c>
      <c r="H523" s="18">
        <f t="shared" si="39"/>
        <v>1167734</v>
      </c>
      <c r="I523" s="18">
        <f t="shared" si="39"/>
        <v>21520</v>
      </c>
      <c r="J523" s="18">
        <f t="shared" si="39"/>
        <v>8644</v>
      </c>
      <c r="K523" s="18">
        <f t="shared" si="39"/>
        <v>0</v>
      </c>
      <c r="L523" s="88">
        <f>SUM(F523:K523)</f>
        <v>2474068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3559134</v>
      </c>
      <c r="G524" s="108">
        <f t="shared" ref="G524:L524" si="40">SUM(G521:G523)</f>
        <v>1441535</v>
      </c>
      <c r="H524" s="108">
        <f t="shared" si="40"/>
        <v>2385776</v>
      </c>
      <c r="I524" s="108">
        <f t="shared" si="40"/>
        <v>75080</v>
      </c>
      <c r="J524" s="108">
        <f t="shared" si="40"/>
        <v>31491</v>
      </c>
      <c r="K524" s="108">
        <f t="shared" si="40"/>
        <v>0</v>
      </c>
      <c r="L524" s="89">
        <f t="shared" si="40"/>
        <v>7493016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302805</v>
      </c>
      <c r="G526" s="18">
        <v>172753</v>
      </c>
      <c r="H526" s="18">
        <v>36036</v>
      </c>
      <c r="I526" s="18">
        <v>22693</v>
      </c>
      <c r="J526" s="18">
        <v>1905</v>
      </c>
      <c r="K526" s="18"/>
      <c r="L526" s="88">
        <f>SUM(F526:K526)</f>
        <v>536192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222796</v>
      </c>
      <c r="G527" s="18">
        <v>124047</v>
      </c>
      <c r="H527" s="18">
        <v>14094</v>
      </c>
      <c r="I527" s="18">
        <v>3842</v>
      </c>
      <c r="J527" s="18">
        <v>684</v>
      </c>
      <c r="K527" s="18"/>
      <c r="L527" s="88">
        <f>SUM(F527:K527)</f>
        <v>365463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319524</v>
      </c>
      <c r="G528" s="18">
        <v>146640</v>
      </c>
      <c r="H528" s="18">
        <v>27441</v>
      </c>
      <c r="I528" s="18">
        <v>10261</v>
      </c>
      <c r="J528" s="18">
        <v>955</v>
      </c>
      <c r="K528" s="18">
        <v>464</v>
      </c>
      <c r="L528" s="88">
        <f>SUM(F528:K528)</f>
        <v>505285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845125</v>
      </c>
      <c r="G529" s="89">
        <f t="shared" ref="G529:L529" si="41">SUM(G526:G528)</f>
        <v>443440</v>
      </c>
      <c r="H529" s="89">
        <f t="shared" si="41"/>
        <v>77571</v>
      </c>
      <c r="I529" s="89">
        <f t="shared" si="41"/>
        <v>36796</v>
      </c>
      <c r="J529" s="89">
        <f t="shared" si="41"/>
        <v>3544</v>
      </c>
      <c r="K529" s="89">
        <f t="shared" si="41"/>
        <v>464</v>
      </c>
      <c r="L529" s="89">
        <f t="shared" si="41"/>
        <v>1406940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52003</v>
      </c>
      <c r="G531" s="18">
        <v>29632</v>
      </c>
      <c r="H531" s="18">
        <v>524</v>
      </c>
      <c r="I531" s="18">
        <v>0</v>
      </c>
      <c r="J531" s="18">
        <v>0</v>
      </c>
      <c r="K531" s="18">
        <v>109</v>
      </c>
      <c r="L531" s="88">
        <f>SUM(F531:K531)</f>
        <v>82268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24325</v>
      </c>
      <c r="G532" s="18">
        <v>13861</v>
      </c>
      <c r="H532" s="18">
        <v>246</v>
      </c>
      <c r="I532" s="18">
        <v>0</v>
      </c>
      <c r="J532" s="18">
        <v>0</v>
      </c>
      <c r="K532" s="18">
        <v>51</v>
      </c>
      <c r="L532" s="88">
        <f>SUM(F532:K532)</f>
        <v>38483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33962</v>
      </c>
      <c r="G533" s="18">
        <v>19352</v>
      </c>
      <c r="H533" s="18">
        <v>343</v>
      </c>
      <c r="I533" s="18">
        <v>0</v>
      </c>
      <c r="J533" s="18">
        <v>0</v>
      </c>
      <c r="K533" s="18">
        <v>71</v>
      </c>
      <c r="L533" s="88">
        <f>SUM(F533:K533)</f>
        <v>53728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110290</v>
      </c>
      <c r="G534" s="89">
        <f t="shared" ref="G534:L534" si="42">SUM(G531:G533)</f>
        <v>62845</v>
      </c>
      <c r="H534" s="89">
        <f t="shared" si="42"/>
        <v>1113</v>
      </c>
      <c r="I534" s="89">
        <f t="shared" si="42"/>
        <v>0</v>
      </c>
      <c r="J534" s="89">
        <f t="shared" si="42"/>
        <v>0</v>
      </c>
      <c r="K534" s="89">
        <f t="shared" si="42"/>
        <v>231</v>
      </c>
      <c r="L534" s="89">
        <f t="shared" si="42"/>
        <v>174479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2691</v>
      </c>
      <c r="I536" s="18"/>
      <c r="J536" s="18"/>
      <c r="K536" s="18"/>
      <c r="L536" s="88">
        <f>SUM(F536:K536)</f>
        <v>2691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1259</v>
      </c>
      <c r="I537" s="18"/>
      <c r="J537" s="18"/>
      <c r="K537" s="18"/>
      <c r="L537" s="88">
        <f>SUM(F537:K537)</f>
        <v>1259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1757</v>
      </c>
      <c r="I538" s="18"/>
      <c r="J538" s="18"/>
      <c r="K538" s="18"/>
      <c r="L538" s="88">
        <f>SUM(F538:K538)</f>
        <v>1757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3">SUM(G536:G538)</f>
        <v>0</v>
      </c>
      <c r="H539" s="89">
        <f t="shared" si="43"/>
        <v>5707</v>
      </c>
      <c r="I539" s="89">
        <f t="shared" si="43"/>
        <v>0</v>
      </c>
      <c r="J539" s="89">
        <f t="shared" si="43"/>
        <v>0</v>
      </c>
      <c r="K539" s="89">
        <f t="shared" si="43"/>
        <v>0</v>
      </c>
      <c r="L539" s="89">
        <f t="shared" si="43"/>
        <v>5707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40525</v>
      </c>
      <c r="I541" s="18"/>
      <c r="J541" s="18"/>
      <c r="K541" s="18"/>
      <c r="L541" s="88">
        <f>SUM(F541:K541)</f>
        <v>40525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82350</v>
      </c>
      <c r="I542" s="18"/>
      <c r="J542" s="18"/>
      <c r="K542" s="18"/>
      <c r="L542" s="88">
        <f>SUM(F542:K542)</f>
        <v>82350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36844</v>
      </c>
      <c r="I543" s="18"/>
      <c r="J543" s="18"/>
      <c r="K543" s="18"/>
      <c r="L543" s="88">
        <f>SUM(F543:K543)</f>
        <v>36844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4">SUM(G541:G543)</f>
        <v>0</v>
      </c>
      <c r="H544" s="193">
        <f t="shared" si="44"/>
        <v>159719</v>
      </c>
      <c r="I544" s="193">
        <f t="shared" si="44"/>
        <v>0</v>
      </c>
      <c r="J544" s="193">
        <f t="shared" si="44"/>
        <v>0</v>
      </c>
      <c r="K544" s="193">
        <f t="shared" si="44"/>
        <v>0</v>
      </c>
      <c r="L544" s="193">
        <f t="shared" si="44"/>
        <v>159719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4514549</v>
      </c>
      <c r="G545" s="89">
        <f t="shared" ref="G545:L545" si="45">G524+G529+G534+G539+G544</f>
        <v>1947820</v>
      </c>
      <c r="H545" s="89">
        <f t="shared" si="45"/>
        <v>2629886</v>
      </c>
      <c r="I545" s="89">
        <f t="shared" si="45"/>
        <v>111876</v>
      </c>
      <c r="J545" s="89">
        <f t="shared" si="45"/>
        <v>35035</v>
      </c>
      <c r="K545" s="89">
        <f t="shared" si="45"/>
        <v>695</v>
      </c>
      <c r="L545" s="89">
        <f t="shared" si="45"/>
        <v>9239861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3351485</v>
      </c>
      <c r="G549" s="87">
        <f>L526</f>
        <v>536192</v>
      </c>
      <c r="H549" s="87">
        <f>L531</f>
        <v>82268</v>
      </c>
      <c r="I549" s="87">
        <f>L536</f>
        <v>2691</v>
      </c>
      <c r="J549" s="87">
        <f>L541</f>
        <v>40525</v>
      </c>
      <c r="K549" s="87">
        <f>SUM(F549:J549)</f>
        <v>4013161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1667463</v>
      </c>
      <c r="G550" s="87">
        <f>L527</f>
        <v>365463</v>
      </c>
      <c r="H550" s="87">
        <f>L532</f>
        <v>38483</v>
      </c>
      <c r="I550" s="87">
        <f>L537</f>
        <v>1259</v>
      </c>
      <c r="J550" s="87">
        <f>L542</f>
        <v>82350</v>
      </c>
      <c r="K550" s="87">
        <f>SUM(F550:J550)</f>
        <v>2155018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2474068</v>
      </c>
      <c r="G551" s="87">
        <f>L528</f>
        <v>505285</v>
      </c>
      <c r="H551" s="87">
        <f>L533</f>
        <v>53728</v>
      </c>
      <c r="I551" s="87">
        <f>L538</f>
        <v>1757</v>
      </c>
      <c r="J551" s="87">
        <f>L543</f>
        <v>36844</v>
      </c>
      <c r="K551" s="87">
        <f>SUM(F551:J551)</f>
        <v>3071682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6">SUM(F549:F551)</f>
        <v>7493016</v>
      </c>
      <c r="G552" s="89">
        <f t="shared" si="46"/>
        <v>1406940</v>
      </c>
      <c r="H552" s="89">
        <f t="shared" si="46"/>
        <v>174479</v>
      </c>
      <c r="I552" s="89">
        <f t="shared" si="46"/>
        <v>5707</v>
      </c>
      <c r="J552" s="89">
        <f t="shared" si="46"/>
        <v>159719</v>
      </c>
      <c r="K552" s="89">
        <f t="shared" si="46"/>
        <v>9239861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7">SUM(F557:F559)</f>
        <v>0</v>
      </c>
      <c r="G560" s="108">
        <f t="shared" si="47"/>
        <v>0</v>
      </c>
      <c r="H560" s="108">
        <f t="shared" si="47"/>
        <v>0</v>
      </c>
      <c r="I560" s="108">
        <f t="shared" si="47"/>
        <v>0</v>
      </c>
      <c r="J560" s="108">
        <f t="shared" si="47"/>
        <v>0</v>
      </c>
      <c r="K560" s="108">
        <f t="shared" si="47"/>
        <v>0</v>
      </c>
      <c r="L560" s="89">
        <f t="shared" si="47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8">SUM(F562:F564)</f>
        <v>0</v>
      </c>
      <c r="G565" s="89">
        <f t="shared" si="48"/>
        <v>0</v>
      </c>
      <c r="H565" s="89">
        <f t="shared" si="48"/>
        <v>0</v>
      </c>
      <c r="I565" s="89">
        <f t="shared" si="48"/>
        <v>0</v>
      </c>
      <c r="J565" s="89">
        <f t="shared" si="48"/>
        <v>0</v>
      </c>
      <c r="K565" s="89">
        <f t="shared" si="48"/>
        <v>0</v>
      </c>
      <c r="L565" s="89">
        <f t="shared" si="48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9">SUM(G567:G569)</f>
        <v>0</v>
      </c>
      <c r="H570" s="193">
        <f t="shared" si="49"/>
        <v>0</v>
      </c>
      <c r="I570" s="193">
        <f t="shared" si="49"/>
        <v>0</v>
      </c>
      <c r="J570" s="193">
        <f t="shared" si="49"/>
        <v>0</v>
      </c>
      <c r="K570" s="193">
        <f t="shared" si="49"/>
        <v>0</v>
      </c>
      <c r="L570" s="193">
        <f t="shared" si="49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50">G560+G565+G570</f>
        <v>0</v>
      </c>
      <c r="H571" s="89">
        <f t="shared" si="50"/>
        <v>0</v>
      </c>
      <c r="I571" s="89">
        <f t="shared" si="50"/>
        <v>0</v>
      </c>
      <c r="J571" s="89">
        <f t="shared" si="50"/>
        <v>0</v>
      </c>
      <c r="K571" s="89">
        <f t="shared" si="50"/>
        <v>0</v>
      </c>
      <c r="L571" s="89">
        <f t="shared" si="50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19275</v>
      </c>
      <c r="I575" s="87">
        <f>SUM(F575:H575)</f>
        <v>19275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51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51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51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15663</v>
      </c>
      <c r="G579" s="18">
        <v>7885</v>
      </c>
      <c r="H579" s="18">
        <v>67305</v>
      </c>
      <c r="I579" s="87">
        <f t="shared" si="51"/>
        <v>90853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51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51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185761+82106</f>
        <v>267867</v>
      </c>
      <c r="G582" s="18">
        <v>514354</v>
      </c>
      <c r="H582" s="18">
        <f>741932+173416</f>
        <v>915348</v>
      </c>
      <c r="I582" s="87">
        <f t="shared" si="51"/>
        <v>1697569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51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51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51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51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51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437970</v>
      </c>
      <c r="I591" s="18">
        <v>193127</v>
      </c>
      <c r="J591" s="18">
        <v>195940</v>
      </c>
      <c r="K591" s="104">
        <f t="shared" ref="K591:K597" si="52">SUM(H591:J591)</f>
        <v>827037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40525</v>
      </c>
      <c r="I592" s="18">
        <v>82350</v>
      </c>
      <c r="J592" s="18">
        <v>36844</v>
      </c>
      <c r="K592" s="104">
        <f t="shared" si="52"/>
        <v>159719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53536</v>
      </c>
      <c r="K593" s="104">
        <f t="shared" si="52"/>
        <v>53536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6258</v>
      </c>
      <c r="J594" s="18">
        <v>31855</v>
      </c>
      <c r="K594" s="104">
        <f t="shared" si="52"/>
        <v>38113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13152</v>
      </c>
      <c r="I595" s="18">
        <v>10205</v>
      </c>
      <c r="J595" s="18">
        <v>11958</v>
      </c>
      <c r="K595" s="104">
        <f t="shared" si="52"/>
        <v>35315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2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491647</v>
      </c>
      <c r="I598" s="108">
        <f>SUM(I591:I597)</f>
        <v>291940</v>
      </c>
      <c r="J598" s="108">
        <f>SUM(J591:J597)</f>
        <v>330133</v>
      </c>
      <c r="K598" s="108">
        <f>SUM(K591:K597)</f>
        <v>1113720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376178</v>
      </c>
      <c r="I604" s="18">
        <v>183426</v>
      </c>
      <c r="J604" s="18">
        <v>296847</v>
      </c>
      <c r="K604" s="104">
        <f>SUM(H604:J604)</f>
        <v>856451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376178</v>
      </c>
      <c r="I605" s="108">
        <f>SUM(I602:I604)</f>
        <v>183426</v>
      </c>
      <c r="J605" s="108">
        <f>SUM(J602:J604)</f>
        <v>296847</v>
      </c>
      <c r="K605" s="108">
        <f>SUM(K602:K604)</f>
        <v>856451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2000</v>
      </c>
      <c r="G612" s="18">
        <v>479</v>
      </c>
      <c r="H612" s="18"/>
      <c r="I612" s="18"/>
      <c r="J612" s="18"/>
      <c r="K612" s="18"/>
      <c r="L612" s="88">
        <f>SUM(F612:K612)</f>
        <v>2479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3">SUM(F611:F613)</f>
        <v>2000</v>
      </c>
      <c r="G614" s="108">
        <f t="shared" si="53"/>
        <v>479</v>
      </c>
      <c r="H614" s="108">
        <f t="shared" si="53"/>
        <v>0</v>
      </c>
      <c r="I614" s="108">
        <f t="shared" si="53"/>
        <v>0</v>
      </c>
      <c r="J614" s="108">
        <f t="shared" si="53"/>
        <v>0</v>
      </c>
      <c r="K614" s="108">
        <f t="shared" si="53"/>
        <v>0</v>
      </c>
      <c r="L614" s="89">
        <f t="shared" si="53"/>
        <v>2479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2373863</v>
      </c>
      <c r="H617" s="109">
        <f>SUM(F52)</f>
        <v>2373863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33726</v>
      </c>
      <c r="H618" s="109">
        <f>SUM(G52)</f>
        <v>33726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894815</v>
      </c>
      <c r="H619" s="109">
        <f>SUM(H52)</f>
        <v>894815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494009</v>
      </c>
      <c r="H621" s="109">
        <f>SUM(J52)</f>
        <v>494009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702998</v>
      </c>
      <c r="H622" s="109">
        <f>F476</f>
        <v>702998</v>
      </c>
      <c r="I622" s="121" t="s">
        <v>101</v>
      </c>
      <c r="J622" s="109">
        <f t="shared" ref="J622:J655" si="54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4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70052</v>
      </c>
      <c r="H624" s="109">
        <f>H476</f>
        <v>70052</v>
      </c>
      <c r="I624" s="121" t="s">
        <v>103</v>
      </c>
      <c r="J624" s="109">
        <f t="shared" si="54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4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494009</v>
      </c>
      <c r="H626" s="109">
        <f>J476</f>
        <v>494009</v>
      </c>
      <c r="I626" s="140" t="s">
        <v>105</v>
      </c>
      <c r="J626" s="109">
        <f t="shared" si="54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31446680</v>
      </c>
      <c r="H627" s="104">
        <f>SUM(F468)</f>
        <v>31446680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594684</v>
      </c>
      <c r="H628" s="104">
        <f>SUM(G468)</f>
        <v>594684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1965352</v>
      </c>
      <c r="H629" s="104">
        <f>SUM(H468)</f>
        <v>1965352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100000</v>
      </c>
      <c r="H631" s="104">
        <f>SUM(J468)</f>
        <v>100000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31627717</v>
      </c>
      <c r="H632" s="104">
        <f>SUM(F472)</f>
        <v>31627717</v>
      </c>
      <c r="I632" s="140" t="s">
        <v>111</v>
      </c>
      <c r="J632" s="109">
        <f t="shared" si="54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2177638</v>
      </c>
      <c r="H633" s="104">
        <f>SUM(H472)</f>
        <v>2177638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369056</v>
      </c>
      <c r="H634" s="104">
        <f>I369</f>
        <v>369056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646147</v>
      </c>
      <c r="H635" s="104">
        <f>SUM(G472)</f>
        <v>646147</v>
      </c>
      <c r="I635" s="140" t="s">
        <v>114</v>
      </c>
      <c r="J635" s="109">
        <f t="shared" si="54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737</v>
      </c>
      <c r="H636" s="104">
        <f>SUM(I472)</f>
        <v>737</v>
      </c>
      <c r="I636" s="140" t="s">
        <v>116</v>
      </c>
      <c r="J636" s="109">
        <f t="shared" si="54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100000</v>
      </c>
      <c r="H637" s="164">
        <f>SUM(J468)</f>
        <v>100000</v>
      </c>
      <c r="I637" s="165" t="s">
        <v>110</v>
      </c>
      <c r="J637" s="151">
        <f t="shared" si="54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4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4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494009</v>
      </c>
      <c r="H640" s="104">
        <f>SUM(G461)</f>
        <v>494009</v>
      </c>
      <c r="I640" s="140" t="s">
        <v>857</v>
      </c>
      <c r="J640" s="109">
        <f t="shared" si="54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4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494009</v>
      </c>
      <c r="H642" s="104">
        <f>SUM(I461)</f>
        <v>494009</v>
      </c>
      <c r="I642" s="140" t="s">
        <v>859</v>
      </c>
      <c r="J642" s="109">
        <f t="shared" si="54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4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4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100000</v>
      </c>
      <c r="H645" s="104">
        <f>G408</f>
        <v>100000</v>
      </c>
      <c r="I645" s="140" t="s">
        <v>481</v>
      </c>
      <c r="J645" s="109">
        <f t="shared" si="54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100000</v>
      </c>
      <c r="H646" s="104">
        <f>L408</f>
        <v>100000</v>
      </c>
      <c r="I646" s="140" t="s">
        <v>477</v>
      </c>
      <c r="J646" s="109">
        <f t="shared" si="54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1113720</v>
      </c>
      <c r="H647" s="104">
        <f>L208+L226+L244</f>
        <v>1113720</v>
      </c>
      <c r="I647" s="140" t="s">
        <v>396</v>
      </c>
      <c r="J647" s="109">
        <f t="shared" si="54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856451</v>
      </c>
      <c r="H648" s="104">
        <f>(J257+J338)-(J255+J336)</f>
        <v>856451</v>
      </c>
      <c r="I648" s="140" t="s">
        <v>702</v>
      </c>
      <c r="J648" s="109">
        <f t="shared" si="54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491647</v>
      </c>
      <c r="H649" s="104">
        <f>H598</f>
        <v>491647</v>
      </c>
      <c r="I649" s="140" t="s">
        <v>388</v>
      </c>
      <c r="J649" s="109">
        <f t="shared" si="54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291940</v>
      </c>
      <c r="H650" s="104">
        <f>I598</f>
        <v>291940</v>
      </c>
      <c r="I650" s="140" t="s">
        <v>389</v>
      </c>
      <c r="J650" s="109">
        <f t="shared" si="54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330133</v>
      </c>
      <c r="H651" s="104">
        <f>J598</f>
        <v>330133</v>
      </c>
      <c r="I651" s="140" t="s">
        <v>390</v>
      </c>
      <c r="J651" s="109">
        <f t="shared" si="54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73127</v>
      </c>
      <c r="H652" s="104">
        <f>K263+K345</f>
        <v>73127</v>
      </c>
      <c r="I652" s="140" t="s">
        <v>397</v>
      </c>
      <c r="J652" s="109">
        <f t="shared" si="54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4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4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100000</v>
      </c>
      <c r="H655" s="104">
        <f>K266+K347</f>
        <v>100000</v>
      </c>
      <c r="I655" s="140" t="s">
        <v>400</v>
      </c>
      <c r="J655" s="109">
        <f t="shared" si="54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14884521</v>
      </c>
      <c r="G660" s="19">
        <f>(L229+L309+L359)</f>
        <v>6820330</v>
      </c>
      <c r="H660" s="19">
        <f>(L247+L328+L360)</f>
        <v>11119671</v>
      </c>
      <c r="I660" s="19">
        <f>SUM(F660:H660)</f>
        <v>32824522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43479.541116804692</v>
      </c>
      <c r="G661" s="19">
        <f>(L359/IF(SUM(L358:L360)=0,1,SUM(L358:L360))*(SUM(G97:G110)))</f>
        <v>16969.436171645153</v>
      </c>
      <c r="H661" s="19">
        <f>(L360/IF(SUM(L358:L360)=0,1,SUM(L358:L360))*(SUM(G97:G110)))</f>
        <v>23692.022711550158</v>
      </c>
      <c r="I661" s="19">
        <f>SUM(F661:H661)</f>
        <v>84141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463352</v>
      </c>
      <c r="G662" s="19">
        <f>(L226+L306)-(J226+J306)</f>
        <v>278705</v>
      </c>
      <c r="H662" s="19">
        <f>(L244+L325)-(J244+J325)</f>
        <v>311654</v>
      </c>
      <c r="I662" s="19">
        <f>SUM(F662:H662)</f>
        <v>1053711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659708</v>
      </c>
      <c r="G663" s="199">
        <f>SUM(G575:G587)+SUM(I602:I604)+L612</f>
        <v>708144</v>
      </c>
      <c r="H663" s="199">
        <f>SUM(H575:H587)+SUM(J602:J604)+L613</f>
        <v>1298775</v>
      </c>
      <c r="I663" s="19">
        <f>SUM(F663:H663)</f>
        <v>2666627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13717981.458883196</v>
      </c>
      <c r="G664" s="19">
        <f>G660-SUM(G661:G663)</f>
        <v>5816511.5638283547</v>
      </c>
      <c r="H664" s="19">
        <f>H660-SUM(H661:H663)</f>
        <v>9485549.9772884492</v>
      </c>
      <c r="I664" s="19">
        <f>I660-SUM(I661:I663)</f>
        <v>29020043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812.48</v>
      </c>
      <c r="G665" s="248">
        <v>380.02</v>
      </c>
      <c r="H665" s="248">
        <v>530.57000000000005</v>
      </c>
      <c r="I665" s="19">
        <f>SUM(F665:H665)</f>
        <v>1723.0700000000002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16884.09</v>
      </c>
      <c r="G667" s="19">
        <f>ROUND(G664/G665,2)</f>
        <v>15305.8</v>
      </c>
      <c r="H667" s="19">
        <f>ROUND(H664/H665,2)</f>
        <v>17878.04</v>
      </c>
      <c r="I667" s="19">
        <f>ROUND(I664/I665,2)</f>
        <v>16842.060000000001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</v>
      </c>
      <c r="I670" s="19">
        <f>SUM(F670:H670)</f>
        <v>-1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16884.09</v>
      </c>
      <c r="G672" s="19">
        <f>ROUND((G664+G669)/(G665+G670),2)</f>
        <v>15305.8</v>
      </c>
      <c r="H672" s="19">
        <f>ROUND((H664+H669)/(H665+H670),2)</f>
        <v>17911.8</v>
      </c>
      <c r="I672" s="19">
        <f>ROUND((I664+I669)/(I665+I670),2)</f>
        <v>16851.84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30" zoomScaleNormal="130" workbookViewId="0">
      <selection activeCell="B30" sqref="B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Claremont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6563016</v>
      </c>
      <c r="C9" s="229">
        <f>'DOE25'!G197+'DOE25'!G215+'DOE25'!G233+'DOE25'!G276+'DOE25'!G295+'DOE25'!G314</f>
        <v>3858235</v>
      </c>
    </row>
    <row r="10" spans="1:3" x14ac:dyDescent="0.2">
      <c r="A10" t="s">
        <v>778</v>
      </c>
      <c r="B10" s="240">
        <v>6389681</v>
      </c>
      <c r="C10" s="240">
        <v>3814377</v>
      </c>
    </row>
    <row r="11" spans="1:3" x14ac:dyDescent="0.2">
      <c r="A11" t="s">
        <v>779</v>
      </c>
      <c r="B11" s="240">
        <v>173335</v>
      </c>
      <c r="C11" s="240">
        <v>43858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6563016</v>
      </c>
      <c r="C13" s="231">
        <f>SUM(C10:C12)</f>
        <v>3858235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3559134</v>
      </c>
      <c r="C18" s="229">
        <f>'DOE25'!G198+'DOE25'!G216+'DOE25'!G234+'DOE25'!G277+'DOE25'!G296+'DOE25'!G315</f>
        <v>1441535</v>
      </c>
    </row>
    <row r="19" spans="1:3" x14ac:dyDescent="0.2">
      <c r="A19" t="s">
        <v>778</v>
      </c>
      <c r="B19" s="240">
        <v>1945076</v>
      </c>
      <c r="C19" s="240">
        <v>1055550</v>
      </c>
    </row>
    <row r="20" spans="1:3" x14ac:dyDescent="0.2">
      <c r="A20" t="s">
        <v>779</v>
      </c>
      <c r="B20" s="240">
        <v>1614058</v>
      </c>
      <c r="C20" s="240">
        <v>385985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3559134</v>
      </c>
      <c r="C22" s="231">
        <f>SUM(C19:C21)</f>
        <v>1441535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474555</v>
      </c>
      <c r="C27" s="234">
        <f>'DOE25'!G199+'DOE25'!G217+'DOE25'!G235+'DOE25'!G278+'DOE25'!G297+'DOE25'!G316</f>
        <v>230661</v>
      </c>
    </row>
    <row r="28" spans="1:3" x14ac:dyDescent="0.2">
      <c r="A28" t="s">
        <v>778</v>
      </c>
      <c r="B28" s="240">
        <v>474555</v>
      </c>
      <c r="C28" s="240">
        <v>230661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474555</v>
      </c>
      <c r="C31" s="231">
        <f>SUM(C28:C30)</f>
        <v>230661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244087</v>
      </c>
      <c r="C36" s="235">
        <f>'DOE25'!G200+'DOE25'!G218+'DOE25'!G236+'DOE25'!G279+'DOE25'!G298+'DOE25'!G317</f>
        <v>61422</v>
      </c>
    </row>
    <row r="37" spans="1:3" x14ac:dyDescent="0.2">
      <c r="A37" t="s">
        <v>778</v>
      </c>
      <c r="B37" s="240">
        <v>2000</v>
      </c>
      <c r="C37" s="240">
        <v>479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242087</v>
      </c>
      <c r="C39" s="240">
        <v>60943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244087</v>
      </c>
      <c r="C40" s="231">
        <f>SUM(C37:C39)</f>
        <v>61422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horizontalDpi="4294967295" verticalDpi="4294967295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40" zoomScaleNormal="140" workbookViewId="0">
      <pane ySplit="4" topLeftCell="A14" activePane="bottomLeft" state="frozen"/>
      <selection activeCell="F46" sqref="F46"/>
      <selection pane="bottomLeft" activeCell="D40" sqref="D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Claremont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18920554</v>
      </c>
      <c r="D5" s="20">
        <f>SUM('DOE25'!L197:L200)+SUM('DOE25'!L215:L218)+SUM('DOE25'!L233:L236)-F5-G5</f>
        <v>18752350</v>
      </c>
      <c r="E5" s="243"/>
      <c r="F5" s="255">
        <f>SUM('DOE25'!J197:J200)+SUM('DOE25'!J215:J218)+SUM('DOE25'!J233:J236)</f>
        <v>132336</v>
      </c>
      <c r="G5" s="53">
        <f>SUM('DOE25'!K197:K200)+SUM('DOE25'!K215:K218)+SUM('DOE25'!K233:K236)</f>
        <v>35868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1618193</v>
      </c>
      <c r="D6" s="20">
        <f>'DOE25'!L202+'DOE25'!L220+'DOE25'!L238-F6-G6</f>
        <v>1615263</v>
      </c>
      <c r="E6" s="243"/>
      <c r="F6" s="255">
        <f>'DOE25'!J202+'DOE25'!J220+'DOE25'!J238</f>
        <v>1969</v>
      </c>
      <c r="G6" s="53">
        <f>'DOE25'!K202+'DOE25'!K220+'DOE25'!K238</f>
        <v>961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1263862</v>
      </c>
      <c r="D7" s="20">
        <f>'DOE25'!L203+'DOE25'!L221+'DOE25'!L239-F7-G7</f>
        <v>777580</v>
      </c>
      <c r="E7" s="243"/>
      <c r="F7" s="255">
        <f>'DOE25'!J203+'DOE25'!J221+'DOE25'!J239</f>
        <v>486282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1303079</v>
      </c>
      <c r="D8" s="243"/>
      <c r="E8" s="20">
        <f>'DOE25'!L204+'DOE25'!L222+'DOE25'!L240-F8-G8-D9-D11</f>
        <v>1270534</v>
      </c>
      <c r="F8" s="255">
        <f>'DOE25'!J204+'DOE25'!J222+'DOE25'!J240</f>
        <v>0</v>
      </c>
      <c r="G8" s="53">
        <f>'DOE25'!K204+'DOE25'!K222+'DOE25'!K240</f>
        <v>32545</v>
      </c>
      <c r="H8" s="259"/>
    </row>
    <row r="9" spans="1:9" x14ac:dyDescent="0.2">
      <c r="A9" s="32">
        <v>2310</v>
      </c>
      <c r="B9" t="s">
        <v>817</v>
      </c>
      <c r="C9" s="245">
        <f t="shared" si="0"/>
        <v>219584</v>
      </c>
      <c r="D9" s="244">
        <v>219584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16500</v>
      </c>
      <c r="D10" s="243"/>
      <c r="E10" s="244">
        <v>16500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242318</v>
      </c>
      <c r="D11" s="244">
        <v>242318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2265167</v>
      </c>
      <c r="D12" s="20">
        <f>'DOE25'!L205+'DOE25'!L223+'DOE25'!L241-F12-G12</f>
        <v>2230215</v>
      </c>
      <c r="E12" s="243"/>
      <c r="F12" s="255">
        <f>'DOE25'!J205+'DOE25'!J223+'DOE25'!J241</f>
        <v>8496</v>
      </c>
      <c r="G12" s="53">
        <f>'DOE25'!K205+'DOE25'!K223+'DOE25'!K241</f>
        <v>26456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3042122</v>
      </c>
      <c r="D14" s="20">
        <f>'DOE25'!L207+'DOE25'!L225+'DOE25'!L243-F14-G14</f>
        <v>3026900</v>
      </c>
      <c r="E14" s="243"/>
      <c r="F14" s="255">
        <f>'DOE25'!J207+'DOE25'!J225+'DOE25'!J243</f>
        <v>15222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1113720</v>
      </c>
      <c r="D15" s="20">
        <f>'DOE25'!L208+'DOE25'!L226+'DOE25'!L244-F15-G15</f>
        <v>1052584</v>
      </c>
      <c r="E15" s="243"/>
      <c r="F15" s="255">
        <f>'DOE25'!J208+'DOE25'!J226+'DOE25'!J244</f>
        <v>60009</v>
      </c>
      <c r="G15" s="53">
        <f>'DOE25'!K208+'DOE25'!K226+'DOE25'!K244</f>
        <v>1127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56820</v>
      </c>
      <c r="D16" s="243"/>
      <c r="E16" s="20">
        <f>'DOE25'!L209+'DOE25'!L227+'DOE25'!L245-F16-G16</f>
        <v>56820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94615</v>
      </c>
      <c r="D17" s="20">
        <f>'DOE25'!L251-F17-G17</f>
        <v>94615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8996</v>
      </c>
      <c r="D19" s="20">
        <f>'DOE25'!L253-F19-G19</f>
        <v>8996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1305560</v>
      </c>
      <c r="D25" s="243"/>
      <c r="E25" s="243"/>
      <c r="F25" s="258"/>
      <c r="G25" s="256"/>
      <c r="H25" s="257">
        <f>'DOE25'!L260+'DOE25'!L261+'DOE25'!L341+'DOE25'!L342</f>
        <v>1305560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296665</v>
      </c>
      <c r="D29" s="20">
        <f>'DOE25'!L358+'DOE25'!L359+'DOE25'!L360-'DOE25'!I367-F29-G29</f>
        <v>296535</v>
      </c>
      <c r="E29" s="243"/>
      <c r="F29" s="255">
        <f>'DOE25'!J358+'DOE25'!J359+'DOE25'!J360</f>
        <v>0</v>
      </c>
      <c r="G29" s="53">
        <f>'DOE25'!K358+'DOE25'!K359+'DOE25'!K360</f>
        <v>130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2177638</v>
      </c>
      <c r="D31" s="20">
        <f>'DOE25'!L290+'DOE25'!L309+'DOE25'!L328+'DOE25'!L333+'DOE25'!L334+'DOE25'!L335-F31-G31</f>
        <v>1848555</v>
      </c>
      <c r="E31" s="243"/>
      <c r="F31" s="255">
        <f>'DOE25'!J290+'DOE25'!J309+'DOE25'!J328+'DOE25'!J333+'DOE25'!J334+'DOE25'!J335</f>
        <v>152137</v>
      </c>
      <c r="G31" s="53">
        <f>'DOE25'!K290+'DOE25'!K309+'DOE25'!K328+'DOE25'!K333+'DOE25'!K334+'DOE25'!K335</f>
        <v>176946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30165495</v>
      </c>
      <c r="E33" s="246">
        <f>SUM(E5:E31)</f>
        <v>1343854</v>
      </c>
      <c r="F33" s="246">
        <f>SUM(F5:F31)</f>
        <v>856451</v>
      </c>
      <c r="G33" s="246">
        <f>SUM(G5:G31)</f>
        <v>274033</v>
      </c>
      <c r="H33" s="246">
        <f>SUM(H5:H31)</f>
        <v>1305560</v>
      </c>
    </row>
    <row r="35" spans="2:8" ht="12" thickBot="1" x14ac:dyDescent="0.25">
      <c r="B35" s="253" t="s">
        <v>846</v>
      </c>
      <c r="D35" s="254">
        <f>E33</f>
        <v>1343854</v>
      </c>
      <c r="E35" s="249"/>
    </row>
    <row r="36" spans="2:8" ht="12" thickTop="1" x14ac:dyDescent="0.2">
      <c r="B36" t="s">
        <v>814</v>
      </c>
      <c r="D36" s="20">
        <f>D33</f>
        <v>30165495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1743470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535771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75072</v>
      </c>
      <c r="D12" s="95">
        <f>'DOE25'!G13</f>
        <v>22627</v>
      </c>
      <c r="E12" s="95">
        <f>'DOE25'!H13</f>
        <v>894815</v>
      </c>
      <c r="F12" s="95">
        <f>'DOE25'!I13</f>
        <v>0</v>
      </c>
      <c r="G12" s="95">
        <f>'DOE25'!J13</f>
        <v>494009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16157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11099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3393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2373863</v>
      </c>
      <c r="D18" s="41">
        <f>SUM(D8:D17)</f>
        <v>33726</v>
      </c>
      <c r="E18" s="41">
        <f>SUM(E8:E17)</f>
        <v>894815</v>
      </c>
      <c r="F18" s="41">
        <f>SUM(F8:F17)</f>
        <v>0</v>
      </c>
      <c r="G18" s="41">
        <f>SUM(G8:G17)</f>
        <v>494009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18207</v>
      </c>
      <c r="E21" s="95">
        <f>'DOE25'!H22</f>
        <v>517564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1167598</v>
      </c>
      <c r="D23" s="95">
        <f>'DOE25'!G24</f>
        <v>5207</v>
      </c>
      <c r="E23" s="95">
        <f>'DOE25'!H24</f>
        <v>204881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5961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503267</v>
      </c>
      <c r="D28" s="95">
        <f>'DOE25'!G29</f>
        <v>4351</v>
      </c>
      <c r="E28" s="95">
        <f>'DOE25'!H29</f>
        <v>85188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17130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1670865</v>
      </c>
      <c r="D31" s="41">
        <f>SUM(D21:D30)</f>
        <v>33726</v>
      </c>
      <c r="E31" s="41">
        <f>SUM(E21:E30)</f>
        <v>824763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197765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178904</v>
      </c>
      <c r="D47" s="95">
        <f>'DOE25'!G48</f>
        <v>0</v>
      </c>
      <c r="E47" s="95">
        <f>'DOE25'!H48</f>
        <v>70052</v>
      </c>
      <c r="F47" s="95">
        <f>'DOE25'!I48</f>
        <v>0</v>
      </c>
      <c r="G47" s="95">
        <f>'DOE25'!J48</f>
        <v>494009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326329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702998</v>
      </c>
      <c r="D50" s="41">
        <f>SUM(D34:D49)</f>
        <v>0</v>
      </c>
      <c r="E50" s="41">
        <f>SUM(E34:E49)</f>
        <v>70052</v>
      </c>
      <c r="F50" s="41">
        <f>SUM(F34:F49)</f>
        <v>0</v>
      </c>
      <c r="G50" s="41">
        <f>SUM(G34:G49)</f>
        <v>494009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2373863</v>
      </c>
      <c r="D51" s="41">
        <f>D50+D31</f>
        <v>33726</v>
      </c>
      <c r="E51" s="41">
        <f>E50+E31</f>
        <v>894815</v>
      </c>
      <c r="F51" s="41">
        <f>F50+F31</f>
        <v>0</v>
      </c>
      <c r="G51" s="41">
        <f>G50+G31</f>
        <v>494009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15602193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525906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7098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59875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84141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123928</v>
      </c>
      <c r="D61" s="95">
        <f>SUM('DOE25'!G98:G110)</f>
        <v>0</v>
      </c>
      <c r="E61" s="95">
        <f>SUM('DOE25'!H98:H110)</f>
        <v>4683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716807</v>
      </c>
      <c r="D62" s="130">
        <f>SUM(D57:D61)</f>
        <v>84141</v>
      </c>
      <c r="E62" s="130">
        <f>SUM(E57:E61)</f>
        <v>4683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16319000</v>
      </c>
      <c r="D63" s="22">
        <f>D56+D62</f>
        <v>84141</v>
      </c>
      <c r="E63" s="22">
        <f>E56+E62</f>
        <v>4683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12411431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1644742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14056173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459821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11702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9725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471523</v>
      </c>
      <c r="D78" s="130">
        <f>SUM(D72:D77)</f>
        <v>9725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18344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14527696</v>
      </c>
      <c r="D81" s="130">
        <f>SUM(D79:D80)+D78+D70</f>
        <v>9725</v>
      </c>
      <c r="E81" s="130">
        <f>SUM(E79:E80)+E78+E70</f>
        <v>18344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59218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540766</v>
      </c>
      <c r="D88" s="95">
        <f>SUM('DOE25'!G153:G161)</f>
        <v>427691</v>
      </c>
      <c r="E88" s="95">
        <f>SUM('DOE25'!H153:H161)</f>
        <v>1942325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599984</v>
      </c>
      <c r="D91" s="131">
        <f>SUM(D85:D90)</f>
        <v>427691</v>
      </c>
      <c r="E91" s="131">
        <f>SUM(E85:E90)</f>
        <v>1942325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73127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73127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764</v>
      </c>
      <c r="C104" s="86">
        <f>C63+C81+C91+C103</f>
        <v>31446680</v>
      </c>
      <c r="D104" s="86">
        <f>D63+D81+D91+D103</f>
        <v>594684</v>
      </c>
      <c r="E104" s="86">
        <f>E63+E81+E91+E103</f>
        <v>1965352</v>
      </c>
      <c r="F104" s="86">
        <f>F63+F81+F91+F103</f>
        <v>0</v>
      </c>
      <c r="G104" s="86">
        <f>G63+G81+G103</f>
        <v>100000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10662159</v>
      </c>
      <c r="D109" s="24" t="s">
        <v>288</v>
      </c>
      <c r="E109" s="95">
        <f>('DOE25'!L276)+('DOE25'!L295)+('DOE25'!L314)</f>
        <v>717117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6999805</v>
      </c>
      <c r="D110" s="24" t="s">
        <v>288</v>
      </c>
      <c r="E110" s="95">
        <f>('DOE25'!L277)+('DOE25'!L296)+('DOE25'!L315)</f>
        <v>493211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789946</v>
      </c>
      <c r="D111" s="24" t="s">
        <v>288</v>
      </c>
      <c r="E111" s="95">
        <f>('DOE25'!L278)+('DOE25'!L297)+('DOE25'!L316)</f>
        <v>44110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468644</v>
      </c>
      <c r="D112" s="24" t="s">
        <v>288</v>
      </c>
      <c r="E112" s="95">
        <f>+('DOE25'!L279)+('DOE25'!L298)+('DOE25'!L317)</f>
        <v>4848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103611</v>
      </c>
      <c r="D114" s="24" t="s">
        <v>288</v>
      </c>
      <c r="E114" s="95">
        <f>+ SUM('DOE25'!L333:L335)</f>
        <v>44682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19024165</v>
      </c>
      <c r="D115" s="86">
        <f>SUM(D109:D114)</f>
        <v>0</v>
      </c>
      <c r="E115" s="86">
        <f>SUM(E109:E114)</f>
        <v>1303968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1618193</v>
      </c>
      <c r="D118" s="24" t="s">
        <v>288</v>
      </c>
      <c r="E118" s="95">
        <f>+('DOE25'!L281)+('DOE25'!L300)+('DOE25'!L319)</f>
        <v>362584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1263862</v>
      </c>
      <c r="D119" s="24" t="s">
        <v>288</v>
      </c>
      <c r="E119" s="95">
        <f>+('DOE25'!L282)+('DOE25'!L301)+('DOE25'!L320)</f>
        <v>320317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1764981</v>
      </c>
      <c r="D120" s="24" t="s">
        <v>288</v>
      </c>
      <c r="E120" s="95">
        <f>+('DOE25'!L283)+('DOE25'!L302)+('DOE25'!L321)</f>
        <v>85160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2265167</v>
      </c>
      <c r="D121" s="24" t="s">
        <v>288</v>
      </c>
      <c r="E121" s="95">
        <f>+('DOE25'!L284)+('DOE25'!L303)+('DOE25'!L322)</f>
        <v>3105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68722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3042122</v>
      </c>
      <c r="D123" s="24" t="s">
        <v>288</v>
      </c>
      <c r="E123" s="95">
        <f>+('DOE25'!L286)+('DOE25'!L305)+('DOE25'!L324)</f>
        <v>313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1113720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56820</v>
      </c>
      <c r="D125" s="24" t="s">
        <v>288</v>
      </c>
      <c r="E125" s="95">
        <f>+('DOE25'!L288)+('DOE25'!L307)+('DOE25'!L326)</f>
        <v>33469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646147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11124865</v>
      </c>
      <c r="D128" s="86">
        <f>SUM(D118:D127)</f>
        <v>646147</v>
      </c>
      <c r="E128" s="86">
        <f>SUM(E118:E127)</f>
        <v>873670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737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661631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643929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73127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1478687</v>
      </c>
      <c r="D144" s="141">
        <f>SUM(D130:D143)</f>
        <v>0</v>
      </c>
      <c r="E144" s="141">
        <f>SUM(E130:E143)</f>
        <v>0</v>
      </c>
      <c r="F144" s="141">
        <f>SUM(F130:F143)</f>
        <v>737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31627717</v>
      </c>
      <c r="D145" s="86">
        <f>(D115+D128+D144)</f>
        <v>646147</v>
      </c>
      <c r="E145" s="86">
        <f>(E115+E128+E144)</f>
        <v>2177638</v>
      </c>
      <c r="F145" s="86">
        <f>(F115+F128+F144)</f>
        <v>737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08/33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11195000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11065000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11065000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565000</v>
      </c>
    </row>
    <row r="159" spans="1:9" x14ac:dyDescent="0.2">
      <c r="A159" s="22" t="s">
        <v>35</v>
      </c>
      <c r="B159" s="137">
        <f>'DOE25'!F498</f>
        <v>10500000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10500000</v>
      </c>
    </row>
    <row r="160" spans="1:9" x14ac:dyDescent="0.2">
      <c r="A160" s="22" t="s">
        <v>36</v>
      </c>
      <c r="B160" s="137">
        <f>'DOE25'!F499</f>
        <v>4312759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4312759</v>
      </c>
    </row>
    <row r="161" spans="1:7" x14ac:dyDescent="0.2">
      <c r="A161" s="22" t="s">
        <v>37</v>
      </c>
      <c r="B161" s="137">
        <f>'DOE25'!F500</f>
        <v>14812759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14812759</v>
      </c>
    </row>
    <row r="162" spans="1:7" x14ac:dyDescent="0.2">
      <c r="A162" s="22" t="s">
        <v>38</v>
      </c>
      <c r="B162" s="137">
        <f>'DOE25'!F501</f>
        <v>565000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565000</v>
      </c>
    </row>
    <row r="163" spans="1:7" x14ac:dyDescent="0.2">
      <c r="A163" s="22" t="s">
        <v>39</v>
      </c>
      <c r="B163" s="137">
        <f>'DOE25'!F502</f>
        <v>360327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360327</v>
      </c>
    </row>
    <row r="164" spans="1:7" x14ac:dyDescent="0.2">
      <c r="A164" s="22" t="s">
        <v>246</v>
      </c>
      <c r="B164" s="137">
        <f>'DOE25'!F503</f>
        <v>925327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925327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Claremont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16884</v>
      </c>
    </row>
    <row r="5" spans="1:4" x14ac:dyDescent="0.2">
      <c r="B5" t="s">
        <v>703</v>
      </c>
      <c r="C5" s="179">
        <f>IF('DOE25'!G665+'DOE25'!G670=0,0,ROUND('DOE25'!G672,0))</f>
        <v>15306</v>
      </c>
    </row>
    <row r="6" spans="1:4" x14ac:dyDescent="0.2">
      <c r="B6" t="s">
        <v>62</v>
      </c>
      <c r="C6" s="179">
        <f>IF('DOE25'!H665+'DOE25'!H670=0,0,ROUND('DOE25'!H672,0))</f>
        <v>17912</v>
      </c>
    </row>
    <row r="7" spans="1:4" x14ac:dyDescent="0.2">
      <c r="B7" t="s">
        <v>704</v>
      </c>
      <c r="C7" s="179">
        <f>IF('DOE25'!I665+'DOE25'!I670=0,0,ROUND('DOE25'!I672,0))</f>
        <v>16852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11379276</v>
      </c>
      <c r="D10" s="182">
        <f>ROUND((C10/$C$28)*100,1)</f>
        <v>33.9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7493016</v>
      </c>
      <c r="D11" s="182">
        <f>ROUND((C11/$C$28)*100,1)</f>
        <v>22.3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834056</v>
      </c>
      <c r="D12" s="182">
        <f>ROUND((C12/$C$28)*100,1)</f>
        <v>2.5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473492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1980777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1584179</v>
      </c>
      <c r="D16" s="182">
        <f t="shared" si="0"/>
        <v>4.7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1940430</v>
      </c>
      <c r="D17" s="182">
        <f t="shared" si="0"/>
        <v>5.8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2268272</v>
      </c>
      <c r="D18" s="182">
        <f t="shared" si="0"/>
        <v>6.8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68722</v>
      </c>
      <c r="D19" s="182">
        <f t="shared" si="0"/>
        <v>0.2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3042435</v>
      </c>
      <c r="D20" s="182">
        <f t="shared" si="0"/>
        <v>9.1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1113720</v>
      </c>
      <c r="D21" s="182">
        <f t="shared" si="0"/>
        <v>3.3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148293</v>
      </c>
      <c r="D24" s="182">
        <f t="shared" si="0"/>
        <v>0.4</v>
      </c>
    </row>
    <row r="25" spans="1:4" x14ac:dyDescent="0.2">
      <c r="A25">
        <v>5120</v>
      </c>
      <c r="B25" t="s">
        <v>719</v>
      </c>
      <c r="C25" s="179">
        <f>ROUND('DOE25'!L261+'DOE25'!L342,0)</f>
        <v>643929</v>
      </c>
      <c r="D25" s="182">
        <f t="shared" si="0"/>
        <v>1.9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562006</v>
      </c>
      <c r="D27" s="182">
        <f t="shared" si="0"/>
        <v>1.7</v>
      </c>
    </row>
    <row r="28" spans="1:4" x14ac:dyDescent="0.2">
      <c r="B28" s="187" t="s">
        <v>722</v>
      </c>
      <c r="C28" s="180">
        <f>SUM(C10:C27)</f>
        <v>33532603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737</v>
      </c>
    </row>
    <row r="30" spans="1:4" x14ac:dyDescent="0.2">
      <c r="B30" s="187" t="s">
        <v>728</v>
      </c>
      <c r="C30" s="180">
        <f>SUM(C28:C29)</f>
        <v>33533340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661631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15602193</v>
      </c>
      <c r="D35" s="182">
        <f t="shared" ref="D35:D40" si="1">ROUND((C35/$C$41)*100,1)</f>
        <v>46.1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721490</v>
      </c>
      <c r="D36" s="182">
        <f t="shared" si="1"/>
        <v>2.1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14056173</v>
      </c>
      <c r="D37" s="182">
        <f t="shared" si="1"/>
        <v>41.5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499592</v>
      </c>
      <c r="D38" s="182">
        <f t="shared" si="1"/>
        <v>1.5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2970000</v>
      </c>
      <c r="D39" s="182">
        <f t="shared" si="1"/>
        <v>8.8000000000000007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33849448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Claremont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2017-10-18T23:55:11Z</cp:lastPrinted>
  <dcterms:created xsi:type="dcterms:W3CDTF">1997-12-04T19:04:30Z</dcterms:created>
  <dcterms:modified xsi:type="dcterms:W3CDTF">2017-11-29T17:13:21Z</dcterms:modified>
</cp:coreProperties>
</file>