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J468" i="1" l="1"/>
  <c r="G459" i="1"/>
  <c r="H400" i="1"/>
  <c r="H396" i="1"/>
  <c r="C37" i="12" l="1"/>
  <c r="B37" i="12"/>
  <c r="B39" i="12"/>
  <c r="B20" i="12"/>
  <c r="B19" i="12"/>
  <c r="B21" i="12"/>
  <c r="B12" i="12"/>
  <c r="B11" i="12"/>
  <c r="B10" i="12"/>
  <c r="D9" i="13"/>
  <c r="J604" i="1"/>
  <c r="H541" i="1"/>
  <c r="H526" i="1"/>
  <c r="H320" i="1"/>
  <c r="H282" i="1"/>
  <c r="H241" i="1"/>
  <c r="H240" i="1"/>
  <c r="K239" i="1"/>
  <c r="H239" i="1"/>
  <c r="H238" i="1"/>
  <c r="H236" i="1"/>
  <c r="H233" i="1"/>
  <c r="H208" i="1"/>
  <c r="H205" i="1"/>
  <c r="H204" i="1"/>
  <c r="K203" i="1"/>
  <c r="H202" i="1"/>
  <c r="J197" i="1"/>
  <c r="I197" i="1"/>
  <c r="H197" i="1"/>
  <c r="H472" i="1"/>
  <c r="H468" i="1"/>
  <c r="F468" i="1"/>
  <c r="H155" i="1"/>
  <c r="H154" i="1"/>
  <c r="F110" i="1"/>
  <c r="F105" i="1"/>
  <c r="F28" i="1"/>
  <c r="G469" i="1" l="1"/>
  <c r="H360" i="1"/>
  <c r="H358" i="1"/>
  <c r="G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C12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E118" i="2"/>
  <c r="E120" i="2"/>
  <c r="E121" i="2"/>
  <c r="C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L529" i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18" i="2"/>
  <c r="C26" i="10"/>
  <c r="L351" i="1"/>
  <c r="A31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F169" i="1"/>
  <c r="J140" i="1"/>
  <c r="F571" i="1"/>
  <c r="I552" i="1"/>
  <c r="K550" i="1"/>
  <c r="G22" i="2"/>
  <c r="C29" i="10"/>
  <c r="H140" i="1"/>
  <c r="L401" i="1"/>
  <c r="C139" i="2" s="1"/>
  <c r="L393" i="1"/>
  <c r="A13" i="12"/>
  <c r="F22" i="13"/>
  <c r="H25" i="13"/>
  <c r="C25" i="13" s="1"/>
  <c r="H571" i="1"/>
  <c r="L560" i="1"/>
  <c r="J545" i="1"/>
  <c r="G192" i="1"/>
  <c r="H192" i="1"/>
  <c r="C35" i="10"/>
  <c r="L309" i="1"/>
  <c r="E16" i="13"/>
  <c r="L570" i="1"/>
  <c r="I571" i="1"/>
  <c r="J636" i="1"/>
  <c r="G36" i="2"/>
  <c r="L565" i="1"/>
  <c r="K551" i="1"/>
  <c r="C22" i="13"/>
  <c r="C138" i="2"/>
  <c r="C16" i="13"/>
  <c r="H33" i="13"/>
  <c r="F476" i="1" l="1"/>
  <c r="H622" i="1" s="1"/>
  <c r="J622" i="1" s="1"/>
  <c r="G645" i="1"/>
  <c r="J645" i="1" s="1"/>
  <c r="J476" i="1"/>
  <c r="H626" i="1" s="1"/>
  <c r="J644" i="1"/>
  <c r="I460" i="1"/>
  <c r="I461" i="1" s="1"/>
  <c r="H642" i="1" s="1"/>
  <c r="J642" i="1" s="1"/>
  <c r="J640" i="1"/>
  <c r="K605" i="1"/>
  <c r="G648" i="1" s="1"/>
  <c r="K598" i="1"/>
  <c r="G647" i="1" s="1"/>
  <c r="J647" i="1" s="1"/>
  <c r="J649" i="1"/>
  <c r="K545" i="1"/>
  <c r="L544" i="1"/>
  <c r="I545" i="1"/>
  <c r="F552" i="1"/>
  <c r="K549" i="1"/>
  <c r="K552" i="1" s="1"/>
  <c r="L524" i="1"/>
  <c r="L328" i="1"/>
  <c r="H662" i="1"/>
  <c r="H338" i="1"/>
  <c r="H352" i="1" s="1"/>
  <c r="G338" i="1"/>
  <c r="G352" i="1" s="1"/>
  <c r="E119" i="2"/>
  <c r="E128" i="2" s="1"/>
  <c r="K338" i="1"/>
  <c r="K352" i="1" s="1"/>
  <c r="F338" i="1"/>
  <c r="F352" i="1" s="1"/>
  <c r="F662" i="1"/>
  <c r="C19" i="10"/>
  <c r="C15" i="10"/>
  <c r="L290" i="1"/>
  <c r="E112" i="2"/>
  <c r="E115" i="2"/>
  <c r="K271" i="1"/>
  <c r="C124" i="2"/>
  <c r="C20" i="10"/>
  <c r="D12" i="13"/>
  <c r="C12" i="13" s="1"/>
  <c r="C121" i="2"/>
  <c r="C17" i="10"/>
  <c r="C119" i="2"/>
  <c r="C118" i="2"/>
  <c r="H257" i="1"/>
  <c r="H271" i="1" s="1"/>
  <c r="C13" i="10"/>
  <c r="C110" i="2"/>
  <c r="L247" i="1"/>
  <c r="H660" i="1" s="1"/>
  <c r="J257" i="1"/>
  <c r="J271" i="1" s="1"/>
  <c r="I257" i="1"/>
  <c r="I271" i="1" s="1"/>
  <c r="G257" i="1"/>
  <c r="G271" i="1" s="1"/>
  <c r="C10" i="10"/>
  <c r="F257" i="1"/>
  <c r="F271" i="1" s="1"/>
  <c r="C32" i="10"/>
  <c r="C21" i="10"/>
  <c r="C123" i="2"/>
  <c r="C18" i="10"/>
  <c r="C120" i="2"/>
  <c r="E8" i="13"/>
  <c r="C8" i="13" s="1"/>
  <c r="C16" i="10"/>
  <c r="C109" i="2"/>
  <c r="D5" i="13"/>
  <c r="C5" i="13" s="1"/>
  <c r="L211" i="1"/>
  <c r="C11" i="10"/>
  <c r="C81" i="2"/>
  <c r="C62" i="2"/>
  <c r="C63" i="2" s="1"/>
  <c r="H52" i="1"/>
  <c r="H619" i="1" s="1"/>
  <c r="J619" i="1" s="1"/>
  <c r="J617" i="1"/>
  <c r="D127" i="2"/>
  <c r="D128" i="2" s="1"/>
  <c r="L362" i="1"/>
  <c r="G635" i="1" s="1"/>
  <c r="J635" i="1" s="1"/>
  <c r="G661" i="1"/>
  <c r="H661" i="1"/>
  <c r="D145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C27" i="10"/>
  <c r="G104" i="2" l="1"/>
  <c r="H646" i="1"/>
  <c r="J646" i="1" s="1"/>
  <c r="L545" i="1"/>
  <c r="I662" i="1"/>
  <c r="L338" i="1"/>
  <c r="L352" i="1" s="1"/>
  <c r="G633" i="1" s="1"/>
  <c r="J633" i="1" s="1"/>
  <c r="E145" i="2"/>
  <c r="D31" i="13"/>
  <c r="C31" i="13" s="1"/>
  <c r="H648" i="1"/>
  <c r="J648" i="1" s="1"/>
  <c r="L257" i="1"/>
  <c r="L271" i="1" s="1"/>
  <c r="G632" i="1" s="1"/>
  <c r="J632" i="1" s="1"/>
  <c r="C115" i="2"/>
  <c r="C128" i="2"/>
  <c r="E33" i="13"/>
  <c r="D35" i="13" s="1"/>
  <c r="C28" i="10"/>
  <c r="D16" i="10" s="1"/>
  <c r="F660" i="1"/>
  <c r="C104" i="2"/>
  <c r="G664" i="1"/>
  <c r="G667" i="1" s="1"/>
  <c r="I661" i="1"/>
  <c r="H664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45" i="2"/>
  <c r="D17" i="10"/>
  <c r="D25" i="10"/>
  <c r="D19" i="10"/>
  <c r="D27" i="10"/>
  <c r="D22" i="10"/>
  <c r="D15" i="10"/>
  <c r="D20" i="10"/>
  <c r="D13" i="10"/>
  <c r="D11" i="10"/>
  <c r="D24" i="10"/>
  <c r="D10" i="10"/>
  <c r="C30" i="10"/>
  <c r="D23" i="10"/>
  <c r="D12" i="10"/>
  <c r="D21" i="10"/>
  <c r="D18" i="10"/>
  <c r="D26" i="10"/>
  <c r="I660" i="1"/>
  <c r="I664" i="1" s="1"/>
  <c r="F664" i="1"/>
  <c r="G672" i="1"/>
  <c r="C5" i="10" s="1"/>
  <c r="H672" i="1"/>
  <c r="C6" i="10" s="1"/>
  <c r="H667" i="1"/>
  <c r="H656" i="1"/>
  <c r="C41" i="10"/>
  <c r="D38" i="10" s="1"/>
  <c r="D28" i="10" l="1"/>
  <c r="I672" i="1"/>
  <c r="C7" i="10" s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<sst xmlns="http://schemas.openxmlformats.org/spreadsheetml/2006/main" count="3957" uniqueCount="914">
  <si>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</si>
  <si>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</si>
  <si>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</si>
  <si>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</si>
  <si>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</si>
  <si>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</si>
  <si>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</si>
  <si>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</si>
  <si>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</si>
  <si>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</si>
  <si>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</si>
  <si>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</si>
  <si>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</si>
  <si>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</si>
  <si>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</si>
  <si>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</si>
  <si>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</si>
  <si>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</si>
  <si>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</si>
  <si>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</si>
  <si>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</si>
  <si>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</si>
  <si>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</si>
  <si>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</si>
  <si>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</si>
  <si>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</si>
  <si>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</si>
  <si>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</si>
  <si>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</si>
  <si>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</si>
  <si>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</si>
  <si>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</si>
  <si>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</si>
  <si>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</si>
  <si>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</si>
  <si>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</si>
  <si>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</si>
  <si>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</si>
  <si>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</si>
  <si>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</si>
  <si>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</si>
  <si>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</si>
  <si>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</si>
  <si>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</si>
  <si>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</si>
  <si>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</si>
  <si>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</si>
  <si>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</si>
  <si>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</si>
  <si>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</si>
  <si>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</si>
  <si>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</si>
  <si>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</si>
  <si>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</si>
  <si>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</si>
  <si>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</si>
  <si>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</si>
  <si>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</si>
  <si>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</si>
  <si>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</si>
  <si>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</si>
  <si>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</si>
  <si>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</si>
  <si>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</si>
  <si>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</si>
  <si>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</si>
  <si>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</si>
  <si>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</si>
  <si>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</si>
  <si>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</si>
  <si>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</si>
  <si>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</si>
  <si>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</si>
  <si>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</si>
  <si>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</si>
  <si>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</si>
  <si>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</si>
  <si>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</si>
  <si>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</si>
  <si>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</si>
  <si>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</si>
  <si>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</si>
  <si>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</si>
  <si>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</si>
  <si>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</si>
  <si>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</si>
  <si>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</si>
  <si>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</si>
  <si>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</si>
  <si>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</si>
  <si>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</si>
  <si>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</si>
  <si>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</si>
  <si>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</si>
  <si>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</si>
  <si>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</si>
  <si>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</si>
  <si>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</si>
  <si>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</si>
  <si>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</si>
  <si>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</si>
  <si>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</si>
  <si>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</si>
  <si>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</si>
  <si>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</si>
  <si>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</si>
  <si>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</si>
  <si>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</si>
  <si>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</si>
  <si>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</si>
  <si>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</si>
  <si>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</si>
  <si>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</si>
  <si>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</si>
  <si>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</si>
  <si>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</si>
  <si>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</si>
  <si>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</si>
  <si>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</si>
  <si>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</si>
  <si>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</si>
  <si>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</si>
  <si>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</si>
  <si>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</si>
  <si>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</si>
  <si>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</si>
  <si>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</si>
  <si>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</si>
  <si>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</si>
  <si>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</si>
  <si>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</si>
  <si>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</si>
  <si>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</si>
  <si>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</si>
  <si>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</si>
  <si>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</si>
  <si>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</si>
  <si>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</si>
  <si>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</si>
  <si>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</si>
  <si>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</si>
  <si>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</si>
  <si>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</si>
  <si>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</si>
  <si>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</si>
  <si>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</si>
  <si>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</si>
  <si>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</si>
  <si>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</si>
  <si>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</si>
  <si>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</si>
  <si>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</si>
  <si>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</si>
  <si>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</si>
  <si>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</si>
  <si>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</si>
  <si>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</si>
  <si>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</si>
  <si>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</si>
  <si>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</si>
  <si>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</si>
  <si>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</si>
  <si>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</si>
  <si>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</si>
  <si>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</si>
  <si>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</si>
  <si>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</si>
  <si>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</si>
  <si>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</si>
  <si>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</si>
  <si>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</si>
  <si>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</si>
  <si>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</si>
  <si>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</si>
  <si>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</si>
  <si>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</si>
  <si>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</si>
  <si>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</si>
  <si>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</si>
  <si>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</si>
  <si>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</si>
  <si>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</si>
  <si>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</si>
  <si>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</si>
  <si>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</si>
  <si>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</si>
  <si>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</si>
  <si>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</si>
  <si>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</si>
  <si>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</si>
  <si>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</si>
  <si>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</si>
  <si>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</si>
  <si>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</si>
  <si>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</si>
  <si>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</si>
  <si>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</si>
  <si>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</si>
  <si>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</si>
  <si>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</si>
  <si>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</si>
  <si>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</si>
  <si>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</si>
  <si>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</si>
  <si>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</si>
  <si>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</si>
  <si>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</si>
  <si>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</si>
  <si>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</si>
  <si>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</si>
  <si>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</si>
  <si>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</si>
  <si>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</si>
  <si>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</si>
  <si>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</si>
  <si>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</si>
  <si>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</si>
  <si>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</si>
  <si>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</si>
  <si>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</si>
  <si>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</si>
  <si>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</si>
  <si>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</si>
  <si>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</si>
  <si>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</si>
  <si>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</si>
  <si>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</si>
  <si>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</si>
  <si>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</si>
  <si>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</si>
  <si>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</si>
  <si>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</si>
  <si>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</si>
  <si>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</si>
  <si>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</si>
  <si>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</si>
  <si>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</si>
  <si>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</si>
  <si>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</si>
  <si>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</si>
  <si>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</si>
  <si>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</si>
  <si>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</si>
  <si>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</si>
  <si>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</si>
  <si>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</si>
  <si>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</si>
  <si>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</si>
  <si>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</si>
  <si>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</si>
  <si>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</si>
  <si>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</si>
  <si>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</si>
  <si>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</si>
  <si>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</si>
  <si>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</si>
  <si>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</si>
  <si>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</si>
  <si>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</si>
  <si>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</si>
  <si>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</si>
  <si>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</si>
  <si>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</si>
  <si>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</si>
  <si>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</si>
  <si>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</si>
  <si>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</si>
  <si>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</si>
  <si>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</si>
  <si>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</si>
  <si>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</si>
  <si>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</si>
  <si>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</si>
  <si>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</si>
  <si>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</si>
  <si>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</si>
  <si>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</si>
  <si>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</si>
  <si>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</si>
  <si>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</si>
  <si>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</si>
  <si>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</si>
  <si>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</si>
  <si>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</si>
  <si>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</si>
  <si>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</si>
  <si>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</si>
  <si>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</si>
  <si>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</si>
  <si>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</si>
  <si>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</si>
  <si>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</si>
  <si>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</si>
  <si>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</si>
  <si>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</si>
  <si>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</si>
  <si>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</si>
  <si>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</si>
  <si>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</si>
  <si>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</si>
  <si>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</si>
  <si>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</si>
  <si>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</si>
  <si>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</si>
  <si>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</si>
  <si>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</si>
  <si>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</si>
  <si>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</si>
  <si>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</si>
  <si>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</si>
  <si>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</si>
  <si>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</si>
  <si>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</si>
  <si>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</si>
  <si>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</si>
  <si>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</si>
  <si>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</si>
  <si>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</si>
  <si>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</si>
  <si>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</si>
  <si>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</si>
  <si>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</si>
  <si>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</si>
  <si>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</si>
  <si>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</si>
  <si>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</si>
  <si>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</si>
  <si>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</si>
  <si>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</si>
  <si>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</si>
  <si>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</si>
  <si>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</si>
  <si>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</si>
  <si>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</si>
  <si>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</si>
  <si>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</si>
  <si>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</si>
  <si>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</si>
  <si>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</si>
  <si>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</si>
  <si>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</si>
  <si>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</si>
  <si>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</si>
  <si>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</si>
  <si>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</si>
  <si>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</si>
  <si>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</si>
  <si>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</si>
  <si>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</si>
  <si>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</si>
  <si>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</si>
  <si>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</si>
  <si>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</si>
  <si>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</si>
  <si>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</si>
  <si>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</si>
  <si>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</si>
  <si>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</si>
  <si>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</si>
  <si>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</si>
  <si>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</si>
  <si>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</si>
  <si>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</si>
  <si>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</si>
  <si>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</si>
  <si>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</si>
  <si>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</si>
  <si>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</si>
  <si>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</si>
  <si>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</si>
  <si>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</si>
  <si>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</si>
  <si>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</si>
  <si>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</si>
  <si>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</si>
  <si>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</si>
  <si>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</si>
  <si>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</si>
  <si>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</si>
  <si>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</si>
  <si>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</si>
  <si>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</si>
  <si>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</si>
  <si>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</si>
  <si>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</si>
  <si>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</si>
  <si>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</si>
  <si>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</si>
  <si>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</si>
  <si>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</si>
  <si>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</si>
  <si>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</si>
  <si>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</si>
  <si>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</si>
  <si>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</si>
  <si>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</si>
  <si>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</si>
  <si>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</si>
  <si>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</si>
  <si>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</si>
  <si>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</si>
  <si>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</si>
  <si>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</si>
  <si>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</si>
  <si>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</si>
  <si>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</si>
  <si>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</si>
  <si>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</si>
  <si>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</si>
  <si>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</si>
  <si>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</si>
  <si>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</si>
  <si>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</si>
  <si>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</si>
  <si>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</si>
  <si>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</si>
  <si>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</si>
  <si>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</si>
  <si>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</si>
  <si>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</si>
  <si>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</si>
  <si>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</si>
  <si>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</si>
  <si>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</si>
  <si>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</si>
  <si>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</si>
  <si>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</si>
  <si>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</si>
  <si>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</si>
  <si>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</si>
  <si>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</si>
  <si>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</si>
  <si>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</si>
  <si>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</si>
  <si>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</si>
  <si>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</si>
  <si>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</si>
  <si>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</si>
  <si>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</si>
  <si>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</si>
  <si>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</si>
  <si>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</si>
  <si>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</si>
  <si>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</si>
  <si>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</si>
  <si>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</si>
  <si>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</si>
  <si>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</si>
  <si>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</si>
  <si>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</si>
  <si>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</si>
  <si>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</si>
  <si>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</si>
  <si>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</si>
  <si>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</si>
  <si>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</si>
  <si>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</si>
  <si>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</si>
  <si>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</si>
  <si>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</si>
  <si>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</si>
  <si>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</si>
  <si>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</si>
  <si>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</si>
  <si>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</si>
  <si>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</si>
  <si>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</si>
  <si>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</si>
  <si>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</si>
  <si>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</si>
  <si>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</si>
  <si>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</si>
  <si>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</si>
  <si>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</si>
  <si>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</si>
  <si>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</si>
  <si>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</si>
  <si>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</si>
  <si>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</si>
  <si>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</si>
  <si>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</si>
  <si>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</si>
  <si>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</si>
  <si>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</si>
  <si>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</si>
  <si>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</si>
  <si>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</si>
  <si>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</si>
  <si>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</si>
  <si>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</si>
  <si>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</si>
  <si>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</si>
  <si>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</si>
  <si>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</si>
  <si>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</si>
  <si>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</si>
  <si>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</si>
  <si>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</si>
  <si>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</si>
  <si>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</si>
  <si>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</si>
  <si>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</si>
  <si>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</si>
  <si>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</si>
  <si>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</si>
  <si>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</si>
  <si>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</si>
  <si>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</si>
  <si>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</si>
  <si>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</si>
  <si>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</si>
  <si>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</si>
  <si>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</si>
  <si>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</si>
  <si>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</si>
  <si>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</si>
  <si>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</si>
  <si>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</si>
  <si>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</si>
  <si>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</si>
  <si>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</si>
  <si>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</si>
  <si>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</si>
  <si>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</si>
  <si>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</si>
  <si>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</si>
  <si>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</si>
  <si>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</si>
  <si>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</si>
  <si>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</si>
  <si>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</si>
  <si>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</si>
  <si>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</si>
  <si>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</si>
  <si>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</si>
  <si>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</si>
  <si>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</si>
  <si>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</si>
  <si>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</si>
  <si>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</si>
  <si>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</si>
  <si>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</si>
  <si>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</si>
  <si>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</si>
  <si>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</si>
  <si>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</si>
  <si>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</si>
  <si>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</si>
  <si>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</si>
  <si>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</si>
  <si>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</si>
  <si>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</si>
  <si>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</si>
  <si>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</si>
  <si>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</si>
  <si>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</si>
  <si>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</si>
  <si>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</si>
  <si>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</si>
  <si>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</si>
  <si>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</si>
  <si>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</si>
  <si>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</si>
  <si>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</si>
  <si>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</si>
  <si>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</si>
  <si>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</si>
  <si>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</si>
  <si>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</si>
  <si>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</si>
  <si>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</si>
  <si>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</si>
  <si>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</si>
  <si>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</si>
  <si>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</si>
  <si>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</si>
  <si>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</si>
  <si>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</si>
  <si>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</si>
  <si>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</si>
  <si>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</si>
  <si>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</si>
  <si>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</si>
  <si>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</si>
  <si>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</si>
  <si>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</si>
  <si>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</si>
  <si>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</si>
  <si>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</si>
  <si>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</si>
  <si>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</si>
  <si>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</si>
  <si>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</si>
  <si>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</si>
  <si>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</si>
  <si>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</si>
  <si>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</si>
  <si>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</si>
  <si>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</si>
  <si>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</si>
  <si>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</si>
  <si>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</si>
  <si>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</si>
  <si>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</si>
  <si>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</si>
  <si>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</si>
  <si>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</si>
  <si>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</si>
  <si>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</si>
  <si>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</si>
  <si>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</si>
  <si>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</si>
  <si>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</si>
  <si>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</si>
  <si>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</si>
  <si>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</si>
  <si>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</si>
  <si>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</si>
  <si>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</si>
  <si>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</si>
  <si>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</si>
  <si>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</si>
  <si>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</si>
  <si>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</si>
  <si>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</si>
  <si>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</si>
  <si>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</si>
  <si>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</si>
  <si>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</si>
  <si>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</si>
  <si>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</si>
  <si>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</si>
  <si>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</si>
  <si>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</si>
  <si>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</si>
  <si>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</si>
  <si>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</si>
  <si>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</si>
  <si>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</si>
  <si>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</si>
  <si>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</si>
  <si>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</si>
  <si>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</si>
  <si>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</si>
  <si>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</si>
  <si>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</si>
  <si>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</si>
  <si>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</si>
  <si>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</si>
  <si>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</si>
  <si>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</si>
  <si>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</si>
  <si>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</si>
  <si>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</si>
  <si>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</si>
  <si>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</si>
  <si>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</si>
  <si>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</si>
  <si>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</si>
  <si>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</si>
  <si>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</si>
  <si>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</si>
  <si>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</si>
  <si>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</si>
  <si>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</si>
  <si>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</si>
  <si>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</si>
  <si>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</si>
  <si>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</si>
  <si>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</si>
  <si>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</si>
  <si>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</si>
  <si>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</si>
  <si>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</si>
  <si>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</si>
  <si>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</si>
  <si>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</si>
  <si>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</si>
  <si>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</si>
  <si>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</si>
  <si>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</si>
  <si>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</si>
  <si>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</si>
  <si>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</si>
  <si>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</si>
  <si>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</si>
  <si>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</si>
  <si>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</si>
  <si>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</si>
  <si>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</si>
  <si>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</si>
  <si>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</si>
  <si>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</si>
  <si>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</si>
  <si>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</si>
  <si>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</si>
  <si>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</si>
  <si>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</si>
  <si>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</si>
  <si>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</si>
  <si>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</si>
  <si>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</si>
  <si>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</si>
  <si>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</si>
  <si>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</si>
  <si>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</si>
  <si>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</si>
  <si>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</si>
  <si>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</si>
  <si>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</si>
  <si>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</si>
  <si>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</si>
  <si>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</si>
  <si>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</si>
  <si>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</si>
  <si>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</si>
  <si>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</si>
  <si>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</si>
  <si>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</si>
  <si>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</si>
  <si>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</si>
  <si>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</si>
  <si>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</si>
  <si>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</si>
  <si>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</si>
  <si>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</si>
  <si>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</si>
  <si>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</si>
  <si>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</si>
  <si>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</si>
  <si>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</si>
  <si>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</si>
  <si>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</si>
  <si>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</si>
  <si>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</si>
  <si>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</si>
  <si>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</si>
  <si>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</si>
  <si>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</si>
  <si>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</si>
  <si>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</si>
  <si>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</si>
  <si>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</si>
  <si>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</si>
  <si>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</si>
  <si>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</si>
  <si>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</si>
  <si>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</si>
  <si>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</si>
  <si>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</si>
  <si>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</si>
  <si>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</si>
  <si>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</si>
  <si>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</si>
  <si>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</si>
  <si>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</si>
  <si>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</si>
  <si>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</si>
  <si>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</si>
  <si>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</si>
  <si>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</si>
  <si>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</si>
  <si>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</si>
  <si>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</si>
  <si>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</si>
  <si>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</si>
  <si>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</si>
  <si>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</si>
  <si>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</si>
  <si>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</si>
  <si>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</si>
  <si>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</si>
  <si>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</si>
  <si>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</si>
  <si>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</si>
  <si>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</si>
  <si>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</si>
  <si>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</si>
  <si>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</si>
  <si>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</si>
  <si>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</si>
  <si>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</si>
  <si>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</si>
  <si>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</si>
  <si>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</si>
  <si>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</si>
  <si>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</si>
  <si>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</si>
  <si>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</si>
  <si>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</si>
  <si>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</si>
  <si>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</si>
  <si>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</si>
  <si>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</si>
  <si>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</si>
  <si>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</si>
  <si>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</si>
  <si>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</si>
  <si>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</si>
  <si>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</si>
  <si>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</si>
  <si>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</si>
  <si>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</si>
  <si>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</si>
  <si>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</si>
  <si>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</si>
  <si>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</si>
  <si>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</si>
  <si>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</si>
  <si>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</si>
  <si>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</si>
  <si>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</si>
  <si>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</si>
  <si>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</si>
  <si>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</si>
  <si>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</si>
  <si>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</si>
  <si>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</si>
  <si>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</si>
  <si>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</si>
  <si>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</si>
  <si>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</si>
  <si>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</si>
  <si>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</si>
  <si>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</si>
  <si>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</si>
  <si>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</si>
  <si>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</si>
  <si>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</si>
  <si>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</si>
  <si>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</si>
  <si>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</si>
  <si>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</si>
  <si>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</si>
  <si>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</si>
  <si>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</si>
  <si>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</si>
  <si>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</si>
  <si>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</si>
  <si>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</si>
  <si>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</si>
  <si>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</si>
  <si>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</si>
  <si>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</si>
  <si>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</si>
  <si>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</si>
  <si>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</si>
  <si>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</si>
  <si>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</si>
  <si>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</si>
  <si>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</si>
  <si>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</si>
  <si>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</si>
  <si>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</si>
  <si>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</si>
  <si>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</si>
  <si>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</si>
  <si>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</si>
  <si>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</si>
  <si>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</si>
  <si>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</si>
  <si>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</si>
  <si>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</si>
  <si>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</si>
  <si>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</si>
  <si>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</si>
  <si>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</si>
  <si>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</si>
  <si>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</si>
  <si>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</si>
  <si>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</si>
  <si>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</si>
  <si>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</si>
  <si>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</si>
  <si>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</si>
  <si>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</si>
  <si>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</si>
  <si>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</si>
  <si>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</si>
  <si>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</si>
  <si>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</si>
  <si>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</si>
  <si>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</si>
  <si>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</si>
  <si>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</si>
  <si>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</si>
  <si>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</si>
  <si>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</si>
  <si>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</si>
  <si>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</si>
  <si>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</si>
  <si>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</si>
  <si>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</si>
  <si>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</si>
  <si>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</si>
  <si>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</si>
  <si>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</si>
  <si>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</si>
  <si>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</si>
  <si>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</si>
  <si>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</si>
  <si>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</si>
  <si>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</si>
  <si>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</si>
  <si>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</si>
  <si>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</si>
  <si>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</si>
  <si>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</si>
  <si>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</si>
  <si>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</si>
  <si>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</si>
  <si>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</si>
  <si>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COLEBROOK SCHOOL DISTRICT</t>
  </si>
  <si>
    <t>Food service inventory increased by 1894.6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</si>
</sst>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0" fillId="5" borderId="0" xfId="0" applyNumberFormat="1" applyFont="1" applyFill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G472" sqref="G47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105</v>
      </c>
      <c r="C2" s="21">
        <v>105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557989.09</v>
      </c>
      <c r="G9" s="18">
        <v>24264.1</v>
      </c>
      <c r="H9" s="18"/>
      <c r="I9" s="18"/>
      <c r="J9" s="67">
        <f>SUM(I439)</f>
        <v>537087.72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48945.919999999998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18972.48</v>
      </c>
      <c r="G13" s="18">
        <v>5409.47</v>
      </c>
      <c r="H13" s="18">
        <v>63963.25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548.73</v>
      </c>
      <c r="G14" s="18">
        <v>1141.8499999999999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7727.61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626456.22</v>
      </c>
      <c r="G19" s="41">
        <f>SUM(G9:G18)</f>
        <v>38543.03</v>
      </c>
      <c r="H19" s="41">
        <f>SUM(H9:H18)</f>
        <v>63963.25</v>
      </c>
      <c r="I19" s="41">
        <f>SUM(I9:I18)</f>
        <v>0</v>
      </c>
      <c r="J19" s="41">
        <f>SUM(J9:J18)</f>
        <v>537087.72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48945.919999999998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31935.4</v>
      </c>
      <c r="G24" s="18">
        <f>7420.88+1418.43</f>
        <v>8839.31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27706.38+2085.52+2172.01+200</f>
        <v>32163.910000000003</v>
      </c>
      <c r="G28" s="18"/>
      <c r="H28" s="18">
        <v>15017.33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8768.7999999999993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20904.23</v>
      </c>
      <c r="G30" s="18">
        <v>323.13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93772.34</v>
      </c>
      <c r="G32" s="41">
        <f>SUM(G22:G31)</f>
        <v>9162.4399999999987</v>
      </c>
      <c r="H32" s="41">
        <f>SUM(H22:H31)</f>
        <v>63963.25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7727.61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25000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21652.98</v>
      </c>
      <c r="H48" s="18"/>
      <c r="I48" s="18"/>
      <c r="J48" s="13">
        <f>SUM(I459)</f>
        <v>512087.72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532683.88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532683.88</v>
      </c>
      <c r="G51" s="41">
        <f>SUM(G35:G50)</f>
        <v>29380.59</v>
      </c>
      <c r="H51" s="41">
        <f>SUM(H35:H50)</f>
        <v>0</v>
      </c>
      <c r="I51" s="41">
        <f>SUM(I35:I50)</f>
        <v>0</v>
      </c>
      <c r="J51" s="41">
        <f>SUM(J35:J50)</f>
        <v>537087.72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626456.22</v>
      </c>
      <c r="G52" s="41">
        <f>G51+G32</f>
        <v>38543.03</v>
      </c>
      <c r="H52" s="41">
        <f>H51+H32</f>
        <v>63963.25</v>
      </c>
      <c r="I52" s="41">
        <f>I51+I32</f>
        <v>0</v>
      </c>
      <c r="J52" s="41">
        <f>J51+J32</f>
        <v>537087.72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2146942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2146942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30712.5</v>
      </c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1227678.93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207622.26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1466013.69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58.78</v>
      </c>
      <c r="G96" s="18"/>
      <c r="H96" s="18"/>
      <c r="I96" s="18"/>
      <c r="J96" s="18">
        <v>6185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80986.66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27616.5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f>166871.07+710+972.71</f>
        <v>168553.78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7007.1</v>
      </c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11940.78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5048.63+570.73</f>
        <v>5619.3600000000006</v>
      </c>
      <c r="G110" s="18"/>
      <c r="H110" s="18">
        <v>4409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220796.3</v>
      </c>
      <c r="G111" s="41">
        <f>SUM(G96:G110)</f>
        <v>80986.66</v>
      </c>
      <c r="H111" s="41">
        <f>SUM(H96:H110)</f>
        <v>4409</v>
      </c>
      <c r="I111" s="41">
        <f>SUM(I96:I110)</f>
        <v>0</v>
      </c>
      <c r="J111" s="41">
        <f>SUM(J96:J110)</f>
        <v>6185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3833751.9899999998</v>
      </c>
      <c r="G112" s="41">
        <f>G60+G111</f>
        <v>80986.66</v>
      </c>
      <c r="H112" s="41">
        <f>H60+H79+H94+H111</f>
        <v>4409</v>
      </c>
      <c r="I112" s="41">
        <f>I60+I111</f>
        <v>0</v>
      </c>
      <c r="J112" s="41">
        <f>J60+J111</f>
        <v>6185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1767259.34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366084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2133343.34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158313.69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2508.77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>
        <v>3995</v>
      </c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158313.69</v>
      </c>
      <c r="G136" s="41">
        <f>SUM(G123:G135)</f>
        <v>6503.77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2291657.0299999998</v>
      </c>
      <c r="G140" s="41">
        <f>G121+SUM(G136:G137)</f>
        <v>6503.77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>
        <v>6890.26</v>
      </c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6890.26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8561.76+169268.64</f>
        <v>177830.40000000002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9986.53+7116.28</f>
        <v>17102.810000000001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84818.98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49008.83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8583.8799999999992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13267.53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8583.8799999999992</v>
      </c>
      <c r="G162" s="41">
        <f>SUM(G150:G161)</f>
        <v>84818.98</v>
      </c>
      <c r="H162" s="41">
        <f>SUM(H150:H161)</f>
        <v>257209.57000000004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5805.3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14389.18</v>
      </c>
      <c r="G169" s="41">
        <f>G147+G162+SUM(G163:G168)</f>
        <v>84818.98</v>
      </c>
      <c r="H169" s="41">
        <f>H147+H162+SUM(H163:H168)</f>
        <v>264099.83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31700</v>
      </c>
      <c r="H179" s="18"/>
      <c r="I179" s="18"/>
      <c r="J179" s="18">
        <v>16000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31700</v>
      </c>
      <c r="H183" s="41">
        <f>SUM(H179:H182)</f>
        <v>0</v>
      </c>
      <c r="I183" s="41">
        <f>SUM(I179:I182)</f>
        <v>0</v>
      </c>
      <c r="J183" s="41">
        <f>SUM(J179:J182)</f>
        <v>16000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31700</v>
      </c>
      <c r="H192" s="41">
        <f>+H183+SUM(H188:H191)</f>
        <v>0</v>
      </c>
      <c r="I192" s="41">
        <f>I177+I183+SUM(I188:I191)</f>
        <v>0</v>
      </c>
      <c r="J192" s="41">
        <f>J183</f>
        <v>16000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6139798.1999999993</v>
      </c>
      <c r="G193" s="47">
        <f>G112+G140+G169+G192</f>
        <v>204009.41</v>
      </c>
      <c r="H193" s="47">
        <f>H112+H140+H169+H192</f>
        <v>268508.83</v>
      </c>
      <c r="I193" s="47">
        <f>I112+I140+I169+I192</f>
        <v>0</v>
      </c>
      <c r="J193" s="47">
        <f>J112+J140+J192</f>
        <v>22185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822846.06</v>
      </c>
      <c r="G197" s="18">
        <v>466778.58</v>
      </c>
      <c r="H197" s="18">
        <f>2339.82+11763</f>
        <v>14102.82</v>
      </c>
      <c r="I197" s="18">
        <f>230.64+42821.55</f>
        <v>43052.19</v>
      </c>
      <c r="J197" s="18">
        <f>5574.66+619.98</f>
        <v>6194.6399999999994</v>
      </c>
      <c r="K197" s="18">
        <v>1460.2</v>
      </c>
      <c r="L197" s="19">
        <f>SUM(F197:K197)</f>
        <v>1354434.49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277497.53000000003</v>
      </c>
      <c r="G198" s="18">
        <v>83753.42</v>
      </c>
      <c r="H198" s="18">
        <v>6128.11</v>
      </c>
      <c r="I198" s="18">
        <v>219.95</v>
      </c>
      <c r="J198" s="18">
        <v>2058.2800000000002</v>
      </c>
      <c r="K198" s="18"/>
      <c r="L198" s="19">
        <f>SUM(F198:K198)</f>
        <v>369657.29000000004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15837.25</v>
      </c>
      <c r="G200" s="18">
        <v>2859.04</v>
      </c>
      <c r="H200" s="18">
        <v>14</v>
      </c>
      <c r="I200" s="18"/>
      <c r="J200" s="18"/>
      <c r="K200" s="18">
        <v>135</v>
      </c>
      <c r="L200" s="19">
        <f>SUM(F200:K200)</f>
        <v>18845.29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194973.87</v>
      </c>
      <c r="G202" s="18">
        <v>49711.83</v>
      </c>
      <c r="H202" s="18">
        <f>164632.01+317.39+683.56</f>
        <v>165632.96000000002</v>
      </c>
      <c r="I202" s="18">
        <v>5029.01</v>
      </c>
      <c r="J202" s="18">
        <v>16726.330000000002</v>
      </c>
      <c r="K202" s="18">
        <v>4458.2</v>
      </c>
      <c r="L202" s="19">
        <f t="shared" ref="L202:L208" si="0">SUM(F202:K202)</f>
        <v>436532.20000000007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35791.35</v>
      </c>
      <c r="G203" s="18">
        <v>22591.09</v>
      </c>
      <c r="H203" s="18">
        <v>939.48</v>
      </c>
      <c r="I203" s="18">
        <v>5028.7299999999996</v>
      </c>
      <c r="J203" s="18"/>
      <c r="K203" s="18">
        <f>936.25+4690</f>
        <v>5626.25</v>
      </c>
      <c r="L203" s="19">
        <f t="shared" si="0"/>
        <v>69976.900000000009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8181.88</v>
      </c>
      <c r="G204" s="18">
        <v>1039.58</v>
      </c>
      <c r="H204" s="18">
        <f>251899.41+12186.82</f>
        <v>264086.23</v>
      </c>
      <c r="I204" s="18">
        <v>627.28</v>
      </c>
      <c r="J204" s="18"/>
      <c r="K204" s="18">
        <v>2539.9899999999998</v>
      </c>
      <c r="L204" s="19">
        <f t="shared" si="0"/>
        <v>276474.96000000002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139189.09</v>
      </c>
      <c r="G205" s="18">
        <v>63042.97</v>
      </c>
      <c r="H205" s="18">
        <f>2423.67+160.81+5629.5</f>
        <v>8213.98</v>
      </c>
      <c r="I205" s="18">
        <v>3294.14</v>
      </c>
      <c r="J205" s="18"/>
      <c r="K205" s="18">
        <v>880</v>
      </c>
      <c r="L205" s="19">
        <f t="shared" si="0"/>
        <v>214620.18000000002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108453.56</v>
      </c>
      <c r="G207" s="18">
        <v>67219.399999999994</v>
      </c>
      <c r="H207" s="18">
        <v>89393.91</v>
      </c>
      <c r="I207" s="18">
        <v>133050.84</v>
      </c>
      <c r="J207" s="18">
        <v>18585.05</v>
      </c>
      <c r="K207" s="18">
        <v>1326.97</v>
      </c>
      <c r="L207" s="19">
        <f t="shared" si="0"/>
        <v>418029.72999999992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12598.25</v>
      </c>
      <c r="G208" s="18">
        <v>1415.68</v>
      </c>
      <c r="H208" s="18">
        <f>2927.9+120518.7</f>
        <v>123446.59999999999</v>
      </c>
      <c r="I208" s="18">
        <v>2863.68</v>
      </c>
      <c r="J208" s="18"/>
      <c r="K208" s="18">
        <v>2106.25</v>
      </c>
      <c r="L208" s="19">
        <f t="shared" si="0"/>
        <v>142430.46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1615368.84</v>
      </c>
      <c r="G211" s="41">
        <f t="shared" si="1"/>
        <v>758411.59</v>
      </c>
      <c r="H211" s="41">
        <f t="shared" si="1"/>
        <v>671958.09</v>
      </c>
      <c r="I211" s="41">
        <f t="shared" si="1"/>
        <v>193165.82</v>
      </c>
      <c r="J211" s="41">
        <f t="shared" si="1"/>
        <v>43564.3</v>
      </c>
      <c r="K211" s="41">
        <f t="shared" si="1"/>
        <v>18532.86</v>
      </c>
      <c r="L211" s="41">
        <f t="shared" si="1"/>
        <v>3301001.5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651890.51</v>
      </c>
      <c r="G233" s="18">
        <v>399291.95</v>
      </c>
      <c r="H233" s="18">
        <f>30712.5+2557.51+9841</f>
        <v>43111.01</v>
      </c>
      <c r="I233" s="18">
        <v>31160.82</v>
      </c>
      <c r="J233" s="18">
        <v>4789.9399999999996</v>
      </c>
      <c r="K233" s="18">
        <v>0</v>
      </c>
      <c r="L233" s="19">
        <f>SUM(F233:K233)</f>
        <v>1130244.23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120227.13</v>
      </c>
      <c r="G234" s="18">
        <v>54352.28</v>
      </c>
      <c r="H234" s="18">
        <v>10539.05</v>
      </c>
      <c r="I234" s="18">
        <v>178.96</v>
      </c>
      <c r="J234" s="18">
        <v>114.99</v>
      </c>
      <c r="K234" s="18"/>
      <c r="L234" s="19">
        <f>SUM(F234:K234)</f>
        <v>185412.40999999997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70634</v>
      </c>
      <c r="G236" s="18">
        <v>9249.34</v>
      </c>
      <c r="H236" s="18">
        <f>9848+902.48</f>
        <v>10750.48</v>
      </c>
      <c r="I236" s="18">
        <v>2790.47</v>
      </c>
      <c r="J236" s="18">
        <v>1021.23</v>
      </c>
      <c r="K236" s="18">
        <v>9035.2999999999993</v>
      </c>
      <c r="L236" s="19">
        <f>SUM(F236:K236)</f>
        <v>103480.81999999999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100121.35</v>
      </c>
      <c r="G238" s="18">
        <v>85606.57</v>
      </c>
      <c r="H238" s="18">
        <f>26090.27+50+308.52</f>
        <v>26448.79</v>
      </c>
      <c r="I238" s="18">
        <v>4806.1400000000003</v>
      </c>
      <c r="J238" s="18">
        <v>22290.2</v>
      </c>
      <c r="K238" s="18">
        <v>2680.52</v>
      </c>
      <c r="L238" s="19">
        <f t="shared" ref="L238:L244" si="4">SUM(F238:K238)</f>
        <v>241953.57000000004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32239.43</v>
      </c>
      <c r="G239" s="18">
        <v>18540.599999999999</v>
      </c>
      <c r="H239" s="18">
        <f>1569.06+102</f>
        <v>1671.06</v>
      </c>
      <c r="I239" s="18">
        <v>3965.31</v>
      </c>
      <c r="J239" s="18"/>
      <c r="K239" s="18">
        <f>836.25+2010</f>
        <v>2846.25</v>
      </c>
      <c r="L239" s="19">
        <f t="shared" si="4"/>
        <v>59262.649999999994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2640.84</v>
      </c>
      <c r="G240" s="18">
        <v>213.41</v>
      </c>
      <c r="H240" s="18">
        <f>107753.09+6140.84</f>
        <v>113893.93</v>
      </c>
      <c r="I240" s="18">
        <v>649.55999999999995</v>
      </c>
      <c r="J240" s="18"/>
      <c r="K240" s="18">
        <v>1444.77</v>
      </c>
      <c r="L240" s="19">
        <f t="shared" si="4"/>
        <v>118842.51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118915.35</v>
      </c>
      <c r="G241" s="18">
        <v>56646.53</v>
      </c>
      <c r="H241" s="18">
        <f>4235+7578.59</f>
        <v>11813.59</v>
      </c>
      <c r="I241" s="18">
        <v>1636.89</v>
      </c>
      <c r="J241" s="18"/>
      <c r="K241" s="18">
        <v>1174</v>
      </c>
      <c r="L241" s="19">
        <f t="shared" si="4"/>
        <v>190186.36000000002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72286.179999999993</v>
      </c>
      <c r="G243" s="18">
        <v>26105.08</v>
      </c>
      <c r="H243" s="18">
        <v>132660.85999999999</v>
      </c>
      <c r="I243" s="18">
        <v>71775.19</v>
      </c>
      <c r="J243" s="18">
        <v>8144.75</v>
      </c>
      <c r="K243" s="18">
        <v>770.53</v>
      </c>
      <c r="L243" s="19">
        <f t="shared" si="4"/>
        <v>311742.59000000003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1017.69</v>
      </c>
      <c r="G244" s="18">
        <v>172.37</v>
      </c>
      <c r="H244" s="18">
        <v>82835.97</v>
      </c>
      <c r="I244" s="18">
        <v>1946.2</v>
      </c>
      <c r="J244" s="18"/>
      <c r="K244" s="18"/>
      <c r="L244" s="19">
        <f t="shared" si="4"/>
        <v>85972.23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1169972.48</v>
      </c>
      <c r="G247" s="41">
        <f t="shared" si="5"/>
        <v>650178.13</v>
      </c>
      <c r="H247" s="41">
        <f t="shared" si="5"/>
        <v>433724.74</v>
      </c>
      <c r="I247" s="41">
        <f t="shared" si="5"/>
        <v>118909.54</v>
      </c>
      <c r="J247" s="41">
        <f t="shared" si="5"/>
        <v>36361.11</v>
      </c>
      <c r="K247" s="41">
        <f t="shared" si="5"/>
        <v>17951.37</v>
      </c>
      <c r="L247" s="41">
        <f t="shared" si="5"/>
        <v>2427097.37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2785341.3200000003</v>
      </c>
      <c r="G257" s="41">
        <f t="shared" si="8"/>
        <v>1408589.72</v>
      </c>
      <c r="H257" s="41">
        <f t="shared" si="8"/>
        <v>1105682.83</v>
      </c>
      <c r="I257" s="41">
        <f t="shared" si="8"/>
        <v>312075.36</v>
      </c>
      <c r="J257" s="41">
        <f t="shared" si="8"/>
        <v>79925.41</v>
      </c>
      <c r="K257" s="41">
        <f t="shared" si="8"/>
        <v>36484.229999999996</v>
      </c>
      <c r="L257" s="41">
        <f t="shared" si="8"/>
        <v>5728098.8700000001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9165</v>
      </c>
      <c r="L261" s="19">
        <f>SUM(F261:K261)</f>
        <v>9165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31700</v>
      </c>
      <c r="L263" s="19">
        <f>SUM(F263:K263)</f>
        <v>31700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16000</v>
      </c>
      <c r="L266" s="19">
        <f t="shared" si="9"/>
        <v>16000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23836</v>
      </c>
      <c r="L268" s="19">
        <f t="shared" si="9"/>
        <v>23836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470701</v>
      </c>
      <c r="L270" s="41">
        <f t="shared" si="9"/>
        <v>470701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2785341.3200000003</v>
      </c>
      <c r="G271" s="42">
        <f t="shared" si="11"/>
        <v>1408589.72</v>
      </c>
      <c r="H271" s="42">
        <f t="shared" si="11"/>
        <v>1105682.83</v>
      </c>
      <c r="I271" s="42">
        <f t="shared" si="11"/>
        <v>312075.36</v>
      </c>
      <c r="J271" s="42">
        <f t="shared" si="11"/>
        <v>79925.41</v>
      </c>
      <c r="K271" s="42">
        <f t="shared" si="11"/>
        <v>507185.23</v>
      </c>
      <c r="L271" s="42">
        <f t="shared" si="11"/>
        <v>6198799.8700000001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123937.61</v>
      </c>
      <c r="G276" s="18">
        <v>41459.67</v>
      </c>
      <c r="H276" s="18"/>
      <c r="I276" s="18">
        <v>0</v>
      </c>
      <c r="J276" s="18"/>
      <c r="K276" s="18"/>
      <c r="L276" s="19">
        <f>SUM(F276:K276)</f>
        <v>165397.28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28151.87</v>
      </c>
      <c r="G277" s="18">
        <v>6629.81</v>
      </c>
      <c r="H277" s="18"/>
      <c r="I277" s="18"/>
      <c r="J277" s="18">
        <v>5293.25</v>
      </c>
      <c r="K277" s="18"/>
      <c r="L277" s="19">
        <f>SUM(F277:K277)</f>
        <v>40074.93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4240.53</v>
      </c>
      <c r="G279" s="18">
        <v>815.4</v>
      </c>
      <c r="H279" s="18"/>
      <c r="I279" s="18"/>
      <c r="J279" s="18"/>
      <c r="K279" s="18">
        <v>60</v>
      </c>
      <c r="L279" s="19">
        <f>SUM(F279:K279)</f>
        <v>5115.9299999999994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4548.7299999999996</v>
      </c>
      <c r="G281" s="18">
        <v>367.07</v>
      </c>
      <c r="H281" s="18"/>
      <c r="I281" s="18"/>
      <c r="J281" s="18"/>
      <c r="K281" s="18">
        <v>13267.53</v>
      </c>
      <c r="L281" s="19">
        <f t="shared" ref="L281:L287" si="12">SUM(F281:K281)</f>
        <v>18183.330000000002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13287.63</v>
      </c>
      <c r="G282" s="18">
        <v>2674.61</v>
      </c>
      <c r="H282" s="18">
        <f>1900+1746.6</f>
        <v>3646.6</v>
      </c>
      <c r="I282" s="18"/>
      <c r="J282" s="18"/>
      <c r="K282" s="18">
        <v>2210</v>
      </c>
      <c r="L282" s="19">
        <f t="shared" si="12"/>
        <v>21818.84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3036.25</v>
      </c>
      <c r="G283" s="18">
        <v>700.42</v>
      </c>
      <c r="H283" s="18">
        <v>176</v>
      </c>
      <c r="I283" s="18"/>
      <c r="J283" s="18"/>
      <c r="K283" s="18"/>
      <c r="L283" s="19">
        <f t="shared" si="12"/>
        <v>3912.67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1500</v>
      </c>
      <c r="L285" s="19">
        <f t="shared" si="12"/>
        <v>1500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387</v>
      </c>
      <c r="I287" s="18"/>
      <c r="J287" s="18"/>
      <c r="K287" s="18"/>
      <c r="L287" s="19">
        <f t="shared" si="12"/>
        <v>387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177202.62000000002</v>
      </c>
      <c r="G290" s="42">
        <f t="shared" si="13"/>
        <v>52646.979999999996</v>
      </c>
      <c r="H290" s="42">
        <f t="shared" si="13"/>
        <v>4209.6000000000004</v>
      </c>
      <c r="I290" s="42">
        <f t="shared" si="13"/>
        <v>0</v>
      </c>
      <c r="J290" s="42">
        <f t="shared" si="13"/>
        <v>5293.25</v>
      </c>
      <c r="K290" s="42">
        <f t="shared" si="13"/>
        <v>17037.53</v>
      </c>
      <c r="L290" s="41">
        <f t="shared" si="13"/>
        <v>256389.97999999998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>
        <v>3018.1</v>
      </c>
      <c r="K315" s="18"/>
      <c r="L315" s="19">
        <f>SUM(F315:K315)</f>
        <v>3018.1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>
        <v>2041</v>
      </c>
      <c r="L317" s="19">
        <f>SUM(F317:K317)</f>
        <v>2041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1258</v>
      </c>
      <c r="G320" s="18">
        <v>306</v>
      </c>
      <c r="H320" s="18">
        <f>1475+1609</f>
        <v>3084</v>
      </c>
      <c r="I320" s="18">
        <v>516.75</v>
      </c>
      <c r="J320" s="18"/>
      <c r="K320" s="18">
        <v>1645</v>
      </c>
      <c r="L320" s="19">
        <f t="shared" si="16"/>
        <v>6809.75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>
        <v>250</v>
      </c>
      <c r="L325" s="19">
        <f t="shared" si="16"/>
        <v>250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1258</v>
      </c>
      <c r="G328" s="42">
        <f t="shared" si="17"/>
        <v>306</v>
      </c>
      <c r="H328" s="42">
        <f t="shared" si="17"/>
        <v>3084</v>
      </c>
      <c r="I328" s="42">
        <f t="shared" si="17"/>
        <v>516.75</v>
      </c>
      <c r="J328" s="42">
        <f t="shared" si="17"/>
        <v>3018.1</v>
      </c>
      <c r="K328" s="42">
        <f t="shared" si="17"/>
        <v>3936</v>
      </c>
      <c r="L328" s="41">
        <f t="shared" si="17"/>
        <v>12118.85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178460.62000000002</v>
      </c>
      <c r="G338" s="41">
        <f t="shared" si="20"/>
        <v>52952.979999999996</v>
      </c>
      <c r="H338" s="41">
        <f t="shared" si="20"/>
        <v>7293.6</v>
      </c>
      <c r="I338" s="41">
        <f t="shared" si="20"/>
        <v>516.75</v>
      </c>
      <c r="J338" s="41">
        <f t="shared" si="20"/>
        <v>8311.35</v>
      </c>
      <c r="K338" s="41">
        <f t="shared" si="20"/>
        <v>20973.53</v>
      </c>
      <c r="L338" s="41">
        <f t="shared" si="20"/>
        <v>268508.82999999996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178460.62000000002</v>
      </c>
      <c r="G352" s="41">
        <f>G338</f>
        <v>52952.979999999996</v>
      </c>
      <c r="H352" s="41">
        <f>H338</f>
        <v>7293.6</v>
      </c>
      <c r="I352" s="41">
        <f>I338</f>
        <v>516.75</v>
      </c>
      <c r="J352" s="41">
        <f>J338</f>
        <v>8311.35</v>
      </c>
      <c r="K352" s="47">
        <f>K338+K351</f>
        <v>20973.53</v>
      </c>
      <c r="L352" s="41">
        <f>L338+L351</f>
        <v>268508.82999999996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2036.74+129369.14</f>
        <v>131405.88</v>
      </c>
      <c r="I358" s="18">
        <v>117.05</v>
      </c>
      <c r="J358" s="18"/>
      <c r="K358" s="18"/>
      <c r="L358" s="13">
        <f>SUM(F358:K358)</f>
        <v>131522.93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 t="s">
        <v>286</v>
      </c>
      <c r="G360" s="18">
        <v>3.26</v>
      </c>
      <c r="H360" s="18">
        <f>2450.82+55443.92</f>
        <v>57894.74</v>
      </c>
      <c r="I360" s="18"/>
      <c r="J360" s="18">
        <v>3995</v>
      </c>
      <c r="K360" s="18"/>
      <c r="L360" s="19">
        <f>SUM(F360:K360)</f>
        <v>61893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3.26</v>
      </c>
      <c r="H362" s="47">
        <f t="shared" si="22"/>
        <v>189300.62</v>
      </c>
      <c r="I362" s="47">
        <f t="shared" si="22"/>
        <v>117.05</v>
      </c>
      <c r="J362" s="47">
        <f t="shared" si="22"/>
        <v>3995</v>
      </c>
      <c r="K362" s="47">
        <f t="shared" si="22"/>
        <v>0</v>
      </c>
      <c r="L362" s="47">
        <f t="shared" si="22"/>
        <v>193415.93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117.05</v>
      </c>
      <c r="G368" s="63"/>
      <c r="H368" s="63"/>
      <c r="I368" s="56">
        <f>SUM(F368:H368)</f>
        <v>117.05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117.05</v>
      </c>
      <c r="G369" s="47">
        <f>SUM(G367:G368)</f>
        <v>0</v>
      </c>
      <c r="H369" s="47">
        <f>SUM(H367:H368)</f>
        <v>0</v>
      </c>
      <c r="I369" s="47">
        <f>SUM(I367:I368)</f>
        <v>117.05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f>500+1</f>
        <v>501</v>
      </c>
      <c r="I396" s="18"/>
      <c r="J396" s="24" t="s">
        <v>288</v>
      </c>
      <c r="K396" s="24" t="s">
        <v>288</v>
      </c>
      <c r="L396" s="56">
        <f t="shared" si="26"/>
        <v>501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0</v>
      </c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787</v>
      </c>
      <c r="I398" s="18"/>
      <c r="J398" s="24" t="s">
        <v>288</v>
      </c>
      <c r="K398" s="24" t="s">
        <v>288</v>
      </c>
      <c r="L398" s="56">
        <f t="shared" si="26"/>
        <v>787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275</v>
      </c>
      <c r="I399" s="18"/>
      <c r="J399" s="24" t="s">
        <v>288</v>
      </c>
      <c r="K399" s="24" t="s">
        <v>288</v>
      </c>
      <c r="L399" s="56">
        <f t="shared" si="26"/>
        <v>275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16000</v>
      </c>
      <c r="H400" s="18">
        <f>2459+607+206+1128+127+95</f>
        <v>4622</v>
      </c>
      <c r="I400" s="18"/>
      <c r="J400" s="24" t="s">
        <v>288</v>
      </c>
      <c r="K400" s="24" t="s">
        <v>288</v>
      </c>
      <c r="L400" s="56">
        <f t="shared" si="26"/>
        <v>20622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16000</v>
      </c>
      <c r="H401" s="47">
        <f>SUM(H395:H400)</f>
        <v>6185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22185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16000</v>
      </c>
      <c r="H408" s="47">
        <f>H393+H401+H407</f>
        <v>6185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22185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537087.72</v>
      </c>
      <c r="H439" s="18"/>
      <c r="I439" s="56">
        <f t="shared" ref="I439:I445" si="33">SUM(F439:H439)</f>
        <v>537087.72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537087.72</v>
      </c>
      <c r="H446" s="13">
        <f>SUM(H439:H445)</f>
        <v>0</v>
      </c>
      <c r="I446" s="13">
        <f>SUM(I439:I445)</f>
        <v>537087.72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>
        <v>25000</v>
      </c>
      <c r="H457" s="18"/>
      <c r="I457" s="56">
        <f t="shared" si="34"/>
        <v>25000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537087.72-25000</f>
        <v>512087.72</v>
      </c>
      <c r="H459" s="18"/>
      <c r="I459" s="56">
        <f t="shared" si="34"/>
        <v>512087.72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537087.72</v>
      </c>
      <c r="H460" s="83">
        <f>SUM(H454:H459)</f>
        <v>0</v>
      </c>
      <c r="I460" s="83">
        <f>SUM(I454:I459)</f>
        <v>537087.72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537087.72</v>
      </c>
      <c r="H461" s="42">
        <f>H452+H460</f>
        <v>0</v>
      </c>
      <c r="I461" s="42">
        <f>I452+I460</f>
        <v>537087.72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591674.01</v>
      </c>
      <c r="G465" s="18">
        <v>16853.259999999998</v>
      </c>
      <c r="H465" s="18"/>
      <c r="I465" s="18"/>
      <c r="J465" s="18">
        <v>517902.72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5805.3+6133992.9</f>
        <v>6139798.2000000002</v>
      </c>
      <c r="G468" s="18">
        <v>204009.41</v>
      </c>
      <c r="H468" s="18">
        <f>274314.13-5805.3</f>
        <v>268508.83</v>
      </c>
      <c r="I468" s="18"/>
      <c r="J468" s="18">
        <f>16000+6185</f>
        <v>22185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11.54</v>
      </c>
      <c r="G469" s="18">
        <f>1894.6+39.25</f>
        <v>1933.85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6139809.7400000002</v>
      </c>
      <c r="G470" s="53">
        <f>SUM(G468:G469)</f>
        <v>205943.26</v>
      </c>
      <c r="H470" s="53">
        <f>SUM(H468:H469)</f>
        <v>268508.83</v>
      </c>
      <c r="I470" s="53">
        <f>SUM(I468:I469)</f>
        <v>0</v>
      </c>
      <c r="J470" s="53">
        <f>SUM(J468:J469)</f>
        <v>22185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6198799.8700000001</v>
      </c>
      <c r="G472" s="18">
        <v>193415.93</v>
      </c>
      <c r="H472" s="18">
        <f>274314.13-5805.3</f>
        <v>268508.83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>
        <v>3000</v>
      </c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6198799.8700000001</v>
      </c>
      <c r="G474" s="53">
        <f>SUM(G472:G473)</f>
        <v>193415.93</v>
      </c>
      <c r="H474" s="53">
        <f>SUM(H472:H473)</f>
        <v>268508.83</v>
      </c>
      <c r="I474" s="53">
        <f>SUM(I472:I473)</f>
        <v>0</v>
      </c>
      <c r="J474" s="53">
        <f>SUM(J472:J473)</f>
        <v>3000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532683.87999999989</v>
      </c>
      <c r="G476" s="53">
        <f>(G465+G470)- G474</f>
        <v>29380.590000000026</v>
      </c>
      <c r="H476" s="53">
        <f>(H465+H470)- H474</f>
        <v>0</v>
      </c>
      <c r="I476" s="53">
        <f>(I465+I470)- I474</f>
        <v>0</v>
      </c>
      <c r="J476" s="53">
        <f>(J465+J470)- J474</f>
        <v>537087.72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277497.53000000003</v>
      </c>
      <c r="G521" s="18">
        <v>83753.42</v>
      </c>
      <c r="H521" s="18">
        <v>6128.11</v>
      </c>
      <c r="I521" s="18">
        <v>139.96</v>
      </c>
      <c r="J521" s="18">
        <v>2058.2800000000002</v>
      </c>
      <c r="K521" s="18"/>
      <c r="L521" s="88">
        <f>SUM(F521:K521)</f>
        <v>369577.30000000005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120227.13</v>
      </c>
      <c r="G523" s="18">
        <v>54352.28</v>
      </c>
      <c r="H523" s="18">
        <v>10539.05</v>
      </c>
      <c r="I523" s="18">
        <v>178.96</v>
      </c>
      <c r="J523" s="18">
        <v>114.99</v>
      </c>
      <c r="K523" s="18"/>
      <c r="L523" s="88">
        <f>SUM(F523:K523)</f>
        <v>185412.40999999997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397724.66000000003</v>
      </c>
      <c r="G524" s="108">
        <f t="shared" ref="G524:L524" si="36">SUM(G521:G523)</f>
        <v>138105.70000000001</v>
      </c>
      <c r="H524" s="108">
        <f t="shared" si="36"/>
        <v>16667.16</v>
      </c>
      <c r="I524" s="108">
        <f t="shared" si="36"/>
        <v>318.92</v>
      </c>
      <c r="J524" s="108">
        <f t="shared" si="36"/>
        <v>2173.27</v>
      </c>
      <c r="K524" s="108">
        <f t="shared" si="36"/>
        <v>0</v>
      </c>
      <c r="L524" s="89">
        <f t="shared" si="36"/>
        <v>554989.71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66569.34</v>
      </c>
      <c r="G526" s="18">
        <v>5454.55</v>
      </c>
      <c r="H526" s="18">
        <f>31618.33+157.39+375.04</f>
        <v>32150.760000000002</v>
      </c>
      <c r="I526" s="18">
        <v>1622.25</v>
      </c>
      <c r="J526" s="18">
        <v>1145.29</v>
      </c>
      <c r="K526" s="18">
        <v>814</v>
      </c>
      <c r="L526" s="88">
        <f>SUM(F526:K526)</f>
        <v>107756.18999999999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3051.4</v>
      </c>
      <c r="G528" s="18">
        <v>249.63</v>
      </c>
      <c r="H528" s="18">
        <v>2082.27</v>
      </c>
      <c r="I528" s="18"/>
      <c r="J528" s="18"/>
      <c r="K528" s="18"/>
      <c r="L528" s="88">
        <f>SUM(F528:K528)</f>
        <v>5383.3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69620.739999999991</v>
      </c>
      <c r="G529" s="89">
        <f t="shared" ref="G529:L529" si="37">SUM(G526:G528)</f>
        <v>5704.18</v>
      </c>
      <c r="H529" s="89">
        <f t="shared" si="37"/>
        <v>34233.03</v>
      </c>
      <c r="I529" s="89">
        <f t="shared" si="37"/>
        <v>1622.25</v>
      </c>
      <c r="J529" s="89">
        <f t="shared" si="37"/>
        <v>1145.29</v>
      </c>
      <c r="K529" s="89">
        <f t="shared" si="37"/>
        <v>814</v>
      </c>
      <c r="L529" s="89">
        <f t="shared" si="37"/>
        <v>113139.48999999999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31026.36</v>
      </c>
      <c r="I531" s="18"/>
      <c r="J531" s="18"/>
      <c r="K531" s="18"/>
      <c r="L531" s="88">
        <f>SUM(F531:K531)</f>
        <v>31026.36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17452.330000000002</v>
      </c>
      <c r="I533" s="18"/>
      <c r="J533" s="18"/>
      <c r="K533" s="18"/>
      <c r="L533" s="88">
        <f>SUM(F533:K533)</f>
        <v>17452.330000000002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48478.69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48478.69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12598.25</v>
      </c>
      <c r="G541" s="18">
        <v>1415.68</v>
      </c>
      <c r="H541" s="18">
        <f>2927.9+1515.8</f>
        <v>4443.7</v>
      </c>
      <c r="I541" s="18">
        <v>2863.68</v>
      </c>
      <c r="J541" s="18"/>
      <c r="K541" s="18">
        <v>2106.25</v>
      </c>
      <c r="L541" s="88">
        <f>SUM(F541:K541)</f>
        <v>23427.56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>
        <v>429.6</v>
      </c>
      <c r="J543" s="18"/>
      <c r="K543" s="18"/>
      <c r="L543" s="88">
        <f>SUM(F543:K543)</f>
        <v>429.6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12598.25</v>
      </c>
      <c r="G544" s="193">
        <f t="shared" ref="G544:L544" si="40">SUM(G541:G543)</f>
        <v>1415.68</v>
      </c>
      <c r="H544" s="193">
        <f t="shared" si="40"/>
        <v>4443.7</v>
      </c>
      <c r="I544" s="193">
        <f t="shared" si="40"/>
        <v>3293.2799999999997</v>
      </c>
      <c r="J544" s="193">
        <f t="shared" si="40"/>
        <v>0</v>
      </c>
      <c r="K544" s="193">
        <f t="shared" si="40"/>
        <v>2106.25</v>
      </c>
      <c r="L544" s="193">
        <f t="shared" si="40"/>
        <v>23857.16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479943.65</v>
      </c>
      <c r="G545" s="89">
        <f t="shared" ref="G545:L545" si="41">G524+G529+G534+G539+G544</f>
        <v>145225.56</v>
      </c>
      <c r="H545" s="89">
        <f t="shared" si="41"/>
        <v>103822.58</v>
      </c>
      <c r="I545" s="89">
        <f t="shared" si="41"/>
        <v>5234.45</v>
      </c>
      <c r="J545" s="89">
        <f t="shared" si="41"/>
        <v>3318.56</v>
      </c>
      <c r="K545" s="89">
        <f t="shared" si="41"/>
        <v>2920.25</v>
      </c>
      <c r="L545" s="89">
        <f t="shared" si="41"/>
        <v>740465.04999999993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369577.30000000005</v>
      </c>
      <c r="G549" s="87">
        <f>L526</f>
        <v>107756.18999999999</v>
      </c>
      <c r="H549" s="87">
        <f>L531</f>
        <v>31026.36</v>
      </c>
      <c r="I549" s="87">
        <f>L536</f>
        <v>0</v>
      </c>
      <c r="J549" s="87">
        <f>L541</f>
        <v>23427.56</v>
      </c>
      <c r="K549" s="87">
        <f>SUM(F549:J549)</f>
        <v>531787.41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185412.40999999997</v>
      </c>
      <c r="G551" s="87">
        <f>L528</f>
        <v>5383.3</v>
      </c>
      <c r="H551" s="87">
        <f>L533</f>
        <v>17452.330000000002</v>
      </c>
      <c r="I551" s="87">
        <f>L538</f>
        <v>0</v>
      </c>
      <c r="J551" s="87">
        <f>L543</f>
        <v>429.6</v>
      </c>
      <c r="K551" s="87">
        <f>SUM(F551:J551)</f>
        <v>208677.63999999998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554989.71</v>
      </c>
      <c r="G552" s="89">
        <f t="shared" si="42"/>
        <v>113139.48999999999</v>
      </c>
      <c r="H552" s="89">
        <f t="shared" si="42"/>
        <v>48478.69</v>
      </c>
      <c r="I552" s="89">
        <f t="shared" si="42"/>
        <v>0</v>
      </c>
      <c r="J552" s="89">
        <f t="shared" si="42"/>
        <v>23857.16</v>
      </c>
      <c r="K552" s="89">
        <f t="shared" si="42"/>
        <v>740465.05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6128.11</v>
      </c>
      <c r="G575" s="18"/>
      <c r="H575" s="18">
        <v>10539.05</v>
      </c>
      <c r="I575" s="87">
        <f>SUM(F575:H575)</f>
        <v>16667.16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109936.4</v>
      </c>
      <c r="I591" s="18"/>
      <c r="J591" s="18">
        <v>59727.47</v>
      </c>
      <c r="K591" s="104">
        <f t="shared" ref="K591:K597" si="48">SUM(H591:J591)</f>
        <v>169663.87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23427.56</v>
      </c>
      <c r="I592" s="18"/>
      <c r="J592" s="18">
        <v>429.6</v>
      </c>
      <c r="K592" s="104">
        <f t="shared" si="48"/>
        <v>23857.16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2330.39</v>
      </c>
      <c r="K593" s="104">
        <f t="shared" si="48"/>
        <v>2330.39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2430.5</v>
      </c>
      <c r="I594" s="18"/>
      <c r="J594" s="18">
        <v>20694.5</v>
      </c>
      <c r="K594" s="104">
        <f t="shared" si="48"/>
        <v>23125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6636</v>
      </c>
      <c r="I595" s="18"/>
      <c r="J595" s="18">
        <v>2790.27</v>
      </c>
      <c r="K595" s="104">
        <f t="shared" si="48"/>
        <v>9426.27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142430.46</v>
      </c>
      <c r="I598" s="108">
        <f>SUM(I591:I597)</f>
        <v>0</v>
      </c>
      <c r="J598" s="108">
        <f>SUM(J591:J597)</f>
        <v>85972.23</v>
      </c>
      <c r="K598" s="108">
        <f>SUM(K591:K597)</f>
        <v>228402.69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48857.55</v>
      </c>
      <c r="I604" s="18"/>
      <c r="J604" s="18">
        <f>39409.21-30</f>
        <v>39379.21</v>
      </c>
      <c r="K604" s="104">
        <f>SUM(H604:J604)</f>
        <v>88236.760000000009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48857.55</v>
      </c>
      <c r="I605" s="108">
        <f>SUM(I602:I604)</f>
        <v>0</v>
      </c>
      <c r="J605" s="108">
        <f>SUM(J602:J604)</f>
        <v>39379.21</v>
      </c>
      <c r="K605" s="108">
        <f>SUM(K602:K604)</f>
        <v>88236.760000000009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626456.22</v>
      </c>
      <c r="H617" s="109">
        <f>SUM(F52)</f>
        <v>626456.22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38543.03</v>
      </c>
      <c r="H618" s="109">
        <f>SUM(G52)</f>
        <v>38543.03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63963.25</v>
      </c>
      <c r="H619" s="109">
        <f>SUM(H52)</f>
        <v>63963.25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537087.72</v>
      </c>
      <c r="H621" s="109">
        <f>SUM(J52)</f>
        <v>537087.72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532683.88</v>
      </c>
      <c r="H622" s="109">
        <f>F476</f>
        <v>532683.87999999989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29380.59</v>
      </c>
      <c r="H623" s="109">
        <f>G476</f>
        <v>29380.590000000026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537087.72</v>
      </c>
      <c r="H626" s="109">
        <f>J476</f>
        <v>537087.72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6139798.1999999993</v>
      </c>
      <c r="H627" s="104">
        <f>SUM(F468)</f>
        <v>6139798.2000000002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204009.41</v>
      </c>
      <c r="H628" s="104">
        <f>SUM(G468)</f>
        <v>204009.41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268508.83</v>
      </c>
      <c r="H629" s="104">
        <f>SUM(H468)</f>
        <v>268508.83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22185</v>
      </c>
      <c r="H631" s="104">
        <f>SUM(J468)</f>
        <v>22185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6198799.8700000001</v>
      </c>
      <c r="H632" s="104">
        <f>SUM(F472)</f>
        <v>6198799.8700000001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268508.82999999996</v>
      </c>
      <c r="H633" s="104">
        <f>SUM(H472)</f>
        <v>268508.83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117.05</v>
      </c>
      <c r="H634" s="104">
        <f>I369</f>
        <v>117.05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193415.93</v>
      </c>
      <c r="H635" s="104">
        <f>SUM(G472)</f>
        <v>193415.93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22185</v>
      </c>
      <c r="H637" s="164">
        <f>SUM(J468)</f>
        <v>22185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537087.72</v>
      </c>
      <c r="H640" s="104">
        <f>SUM(G461)</f>
        <v>537087.72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537087.72</v>
      </c>
      <c r="H642" s="104">
        <f>SUM(I461)</f>
        <v>537087.72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6185</v>
      </c>
      <c r="H644" s="104">
        <f>H408</f>
        <v>6185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16000</v>
      </c>
      <c r="H645" s="104">
        <f>G408</f>
        <v>16000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22185</v>
      </c>
      <c r="H646" s="104">
        <f>L408</f>
        <v>22185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228402.69</v>
      </c>
      <c r="H647" s="104">
        <f>L208+L226+L244</f>
        <v>228402.69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88236.760000000009</v>
      </c>
      <c r="H648" s="104">
        <f>(J257+J338)-(J255+J336)</f>
        <v>88236.760000000009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142430.46</v>
      </c>
      <c r="H649" s="104">
        <f>H598</f>
        <v>142430.46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85972.23</v>
      </c>
      <c r="H651" s="104">
        <f>J598</f>
        <v>85972.23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31700</v>
      </c>
      <c r="H652" s="104">
        <f>K263+K345</f>
        <v>31700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16000</v>
      </c>
      <c r="H655" s="104">
        <f>K266+K347</f>
        <v>16000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3688914.41</v>
      </c>
      <c r="G660" s="19">
        <f>(L229+L309+L359)</f>
        <v>0</v>
      </c>
      <c r="H660" s="19">
        <f>(L247+L328+L360)</f>
        <v>2501109.2200000002</v>
      </c>
      <c r="I660" s="19">
        <f>SUM(F660:H660)</f>
        <v>6190023.6300000008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55070.969666840785</v>
      </c>
      <c r="G661" s="19">
        <f>(L359/IF(SUM(L358:L360)=0,1,SUM(L358:L360))*(SUM(G97:G110)))</f>
        <v>0</v>
      </c>
      <c r="H661" s="19">
        <f>(L360/IF(SUM(L358:L360)=0,1,SUM(L358:L360))*(SUM(G97:G110)))</f>
        <v>25915.690333159218</v>
      </c>
      <c r="I661" s="19">
        <f>SUM(F661:H661)</f>
        <v>80986.66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142817.46</v>
      </c>
      <c r="G662" s="19">
        <f>(L226+L306)-(J226+J306)</f>
        <v>0</v>
      </c>
      <c r="H662" s="19">
        <f>(L244+L325)-(J244+J325)</f>
        <v>86222.23</v>
      </c>
      <c r="I662" s="19">
        <f>SUM(F662:H662)</f>
        <v>229039.69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54985.66</v>
      </c>
      <c r="G663" s="199">
        <f>SUM(G575:G587)+SUM(I602:I604)+L612</f>
        <v>0</v>
      </c>
      <c r="H663" s="199">
        <f>SUM(H575:H587)+SUM(J602:J604)+L613</f>
        <v>49918.259999999995</v>
      </c>
      <c r="I663" s="19">
        <f>SUM(F663:H663)</f>
        <v>104903.92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3436040.3203331595</v>
      </c>
      <c r="G664" s="19">
        <f>G660-SUM(G661:G663)</f>
        <v>0</v>
      </c>
      <c r="H664" s="19">
        <f>H660-SUM(H661:H663)</f>
        <v>2339053.0396668408</v>
      </c>
      <c r="I664" s="19">
        <f>I660-SUM(I661:I663)</f>
        <v>5775093.3600000013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215.69</v>
      </c>
      <c r="G665" s="248"/>
      <c r="H665" s="248">
        <v>121.8</v>
      </c>
      <c r="I665" s="19">
        <f>SUM(F665:H665)</f>
        <v>337.49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15930.46</v>
      </c>
      <c r="G667" s="19" t="e">
        <f>ROUND(G664/G665,2)</f>
        <v>#DIV/0!</v>
      </c>
      <c r="H667" s="19">
        <f>ROUND(H664/H665,2)</f>
        <v>19204.05</v>
      </c>
      <c r="I667" s="19">
        <f>ROUND(I664/I665,2)</f>
        <v>17111.89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</v>
      </c>
      <c r="I670" s="19">
        <f>SUM(F670:H670)</f>
        <v>-1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15930.46</v>
      </c>
      <c r="G672" s="19" t="e">
        <f>ROUND((G664+G669)/(G665+G670),2)</f>
        <v>#DIV/0!</v>
      </c>
      <c r="H672" s="19">
        <f>ROUND((H664+H669)/(H665+H670),2)</f>
        <v>19363.02</v>
      </c>
      <c r="I672" s="19">
        <f>ROUND((I664+I669)/(I665+I670),2)</f>
        <v>17162.75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6" zoomScale="120" zoomScaleNormal="12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COLEBROOK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1598674.1800000002</v>
      </c>
      <c r="C9" s="229">
        <f>'DOE25'!G197+'DOE25'!G215+'DOE25'!G233+'DOE25'!G276+'DOE25'!G295+'DOE25'!G314</f>
        <v>907530.20000000007</v>
      </c>
    </row>
    <row r="10" spans="1:3" x14ac:dyDescent="0.2">
      <c r="A10" t="s">
        <v>778</v>
      </c>
      <c r="B10" s="240">
        <f>723502.16+88141+624543.3+91738.54</f>
        <v>1527925</v>
      </c>
      <c r="C10" s="240">
        <v>902101.65</v>
      </c>
    </row>
    <row r="11" spans="1:3" x14ac:dyDescent="0.2">
      <c r="A11" t="s">
        <v>779</v>
      </c>
      <c r="B11" s="240">
        <f>18692.21+32199.07-0.1</f>
        <v>50891.18</v>
      </c>
      <c r="C11" s="240">
        <v>3908.44</v>
      </c>
    </row>
    <row r="12" spans="1:3" x14ac:dyDescent="0.2">
      <c r="A12" t="s">
        <v>780</v>
      </c>
      <c r="B12" s="240">
        <f>10875+8655+328</f>
        <v>19858</v>
      </c>
      <c r="C12" s="240">
        <v>1520.11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1598674.18</v>
      </c>
      <c r="C13" s="231">
        <f>SUM(C10:C12)</f>
        <v>907530.2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425876.53</v>
      </c>
      <c r="C18" s="229">
        <f>'DOE25'!G198+'DOE25'!G216+'DOE25'!G234+'DOE25'!G277+'DOE25'!G296+'DOE25'!G315</f>
        <v>144735.51</v>
      </c>
    </row>
    <row r="19" spans="1:3" x14ac:dyDescent="0.2">
      <c r="A19" t="s">
        <v>778</v>
      </c>
      <c r="B19" s="240">
        <f>100900.08+81435.86+16347.67+602.25</f>
        <v>199285.86000000002</v>
      </c>
      <c r="C19" s="240">
        <v>127333.42</v>
      </c>
    </row>
    <row r="20" spans="1:3" x14ac:dyDescent="0.2">
      <c r="A20" t="s">
        <v>779</v>
      </c>
      <c r="B20" s="240">
        <f>158082.1+5312.15+38749.77+11201.95</f>
        <v>213345.97</v>
      </c>
      <c r="C20" s="240">
        <v>16384.900000000001</v>
      </c>
    </row>
    <row r="21" spans="1:3" x14ac:dyDescent="0.2">
      <c r="A21" t="s">
        <v>780</v>
      </c>
      <c r="B21" s="240">
        <f>10471.69+2731.51+41.5</f>
        <v>13244.7</v>
      </c>
      <c r="C21" s="240">
        <v>1017.19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425876.53</v>
      </c>
      <c r="C22" s="231">
        <f>SUM(C19:C21)</f>
        <v>144735.51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90711.78</v>
      </c>
      <c r="C36" s="235">
        <f>'DOE25'!G200+'DOE25'!G218+'DOE25'!G236+'DOE25'!G279+'DOE25'!G298+'DOE25'!G317</f>
        <v>12923.78</v>
      </c>
    </row>
    <row r="37" spans="1:3" x14ac:dyDescent="0.2">
      <c r="A37" t="s">
        <v>778</v>
      </c>
      <c r="B37" s="240">
        <f>6025.75+20884.5+3150</f>
        <v>30060.25</v>
      </c>
      <c r="C37" s="240">
        <f>8259.37+0.46</f>
        <v>8259.83</v>
      </c>
    </row>
    <row r="38" spans="1:3" x14ac:dyDescent="0.2">
      <c r="A38" t="s">
        <v>779</v>
      </c>
      <c r="B38" s="240">
        <v>1090.53</v>
      </c>
      <c r="C38" s="240">
        <v>83.75</v>
      </c>
    </row>
    <row r="39" spans="1:3" x14ac:dyDescent="0.2">
      <c r="A39" t="s">
        <v>780</v>
      </c>
      <c r="B39" s="240">
        <f>4362.5+660+5449+49089.5</f>
        <v>59561</v>
      </c>
      <c r="C39" s="240">
        <v>4580.2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90711.78</v>
      </c>
      <c r="C40" s="231">
        <f>SUM(C37:C39)</f>
        <v>12923.779999999999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5" t="str">
        <f>'DOE25'!A2</f>
        <v>COLEBROOK SCHOOL DISTRICT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3162074.5300000003</v>
      </c>
      <c r="D5" s="20">
        <f>SUM('DOE25'!L197:L200)+SUM('DOE25'!L215:L218)+SUM('DOE25'!L233:L236)-F5-G5</f>
        <v>3137264.95</v>
      </c>
      <c r="E5" s="243"/>
      <c r="F5" s="255">
        <f>SUM('DOE25'!J197:J200)+SUM('DOE25'!J215:J218)+SUM('DOE25'!J233:J236)</f>
        <v>14179.08</v>
      </c>
      <c r="G5" s="53">
        <f>SUM('DOE25'!K197:K200)+SUM('DOE25'!K215:K218)+SUM('DOE25'!K233:K236)</f>
        <v>10630.5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678485.77000000014</v>
      </c>
      <c r="D6" s="20">
        <f>'DOE25'!L202+'DOE25'!L220+'DOE25'!L238-F6-G6</f>
        <v>632330.52000000014</v>
      </c>
      <c r="E6" s="243"/>
      <c r="F6" s="255">
        <f>'DOE25'!J202+'DOE25'!J220+'DOE25'!J238</f>
        <v>39016.53</v>
      </c>
      <c r="G6" s="53">
        <f>'DOE25'!K202+'DOE25'!K220+'DOE25'!K238</f>
        <v>7138.7199999999993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129239.55</v>
      </c>
      <c r="D7" s="20">
        <f>'DOE25'!L203+'DOE25'!L221+'DOE25'!L239-F7-G7</f>
        <v>120767.05</v>
      </c>
      <c r="E7" s="243"/>
      <c r="F7" s="255">
        <f>'DOE25'!J203+'DOE25'!J221+'DOE25'!J239</f>
        <v>0</v>
      </c>
      <c r="G7" s="53">
        <f>'DOE25'!K203+'DOE25'!K221+'DOE25'!K239</f>
        <v>8472.5</v>
      </c>
      <c r="H7" s="259"/>
    </row>
    <row r="8" spans="1:9" x14ac:dyDescent="0.2">
      <c r="A8" s="32">
        <v>2300</v>
      </c>
      <c r="B8" t="s">
        <v>801</v>
      </c>
      <c r="C8" s="245">
        <f t="shared" si="0"/>
        <v>224447.60000000003</v>
      </c>
      <c r="D8" s="243"/>
      <c r="E8" s="20">
        <f>'DOE25'!L204+'DOE25'!L222+'DOE25'!L240-F8-G8-D9-D11</f>
        <v>220462.84000000003</v>
      </c>
      <c r="F8" s="255">
        <f>'DOE25'!J204+'DOE25'!J222+'DOE25'!J240</f>
        <v>0</v>
      </c>
      <c r="G8" s="53">
        <f>'DOE25'!K204+'DOE25'!K222+'DOE25'!K240</f>
        <v>3984.7599999999998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43793</v>
      </c>
      <c r="D9" s="275">
        <f>54293-10500</f>
        <v>43793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10500</v>
      </c>
      <c r="D10" s="243"/>
      <c r="E10" s="244">
        <v>10500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127076.87</v>
      </c>
      <c r="D11" s="244">
        <v>127076.87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404806.54000000004</v>
      </c>
      <c r="D12" s="20">
        <f>'DOE25'!L205+'DOE25'!L223+'DOE25'!L241-F12-G12</f>
        <v>402752.54000000004</v>
      </c>
      <c r="E12" s="243"/>
      <c r="F12" s="255">
        <f>'DOE25'!J205+'DOE25'!J223+'DOE25'!J241</f>
        <v>0</v>
      </c>
      <c r="G12" s="53">
        <f>'DOE25'!K205+'DOE25'!K223+'DOE25'!K241</f>
        <v>2054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729772.32</v>
      </c>
      <c r="D14" s="20">
        <f>'DOE25'!L207+'DOE25'!L225+'DOE25'!L243-F14-G14</f>
        <v>700945.0199999999</v>
      </c>
      <c r="E14" s="243"/>
      <c r="F14" s="255">
        <f>'DOE25'!J207+'DOE25'!J225+'DOE25'!J243</f>
        <v>26729.8</v>
      </c>
      <c r="G14" s="53">
        <f>'DOE25'!K207+'DOE25'!K225+'DOE25'!K243</f>
        <v>2097.5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228402.69</v>
      </c>
      <c r="D15" s="20">
        <f>'DOE25'!L208+'DOE25'!L226+'DOE25'!L244-F15-G15</f>
        <v>226296.44</v>
      </c>
      <c r="E15" s="243"/>
      <c r="F15" s="255">
        <f>'DOE25'!J208+'DOE25'!J226+'DOE25'!J244</f>
        <v>0</v>
      </c>
      <c r="G15" s="53">
        <f>'DOE25'!K208+'DOE25'!K226+'DOE25'!K244</f>
        <v>2106.25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399165</v>
      </c>
      <c r="D25" s="243"/>
      <c r="E25" s="243"/>
      <c r="F25" s="258"/>
      <c r="G25" s="256"/>
      <c r="H25" s="257">
        <f>'DOE25'!L260+'DOE25'!L261+'DOE25'!L341+'DOE25'!L342</f>
        <v>399165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193415.93</v>
      </c>
      <c r="D29" s="20">
        <f>'DOE25'!L358+'DOE25'!L359+'DOE25'!L360-'DOE25'!I367-F29-G29</f>
        <v>189420.93</v>
      </c>
      <c r="E29" s="243"/>
      <c r="F29" s="255">
        <f>'DOE25'!J358+'DOE25'!J359+'DOE25'!J360</f>
        <v>3995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268508.82999999996</v>
      </c>
      <c r="D31" s="20">
        <f>'DOE25'!L290+'DOE25'!L309+'DOE25'!L328+'DOE25'!L333+'DOE25'!L334+'DOE25'!L335-F31-G31</f>
        <v>239223.94999999995</v>
      </c>
      <c r="E31" s="243"/>
      <c r="F31" s="255">
        <f>'DOE25'!J290+'DOE25'!J309+'DOE25'!J328+'DOE25'!J333+'DOE25'!J334+'DOE25'!J335</f>
        <v>8311.35</v>
      </c>
      <c r="G31" s="53">
        <f>'DOE25'!K290+'DOE25'!K309+'DOE25'!K328+'DOE25'!K333+'DOE25'!K334+'DOE25'!K335</f>
        <v>20973.53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5819871.2699999996</v>
      </c>
      <c r="E33" s="246">
        <f>SUM(E5:E31)</f>
        <v>230962.84000000003</v>
      </c>
      <c r="F33" s="246">
        <f>SUM(F5:F31)</f>
        <v>92231.760000000009</v>
      </c>
      <c r="G33" s="246">
        <f>SUM(G5:G31)</f>
        <v>57457.759999999995</v>
      </c>
      <c r="H33" s="246">
        <f>SUM(H5:H31)</f>
        <v>399165</v>
      </c>
    </row>
    <row r="35" spans="2:8" ht="12" thickBot="1" x14ac:dyDescent="0.25">
      <c r="B35" s="253" t="s">
        <v>846</v>
      </c>
      <c r="D35" s="254">
        <f>E33</f>
        <v>230962.84000000003</v>
      </c>
      <c r="E35" s="249"/>
    </row>
    <row r="36" spans="2:8" ht="12" thickTop="1" x14ac:dyDescent="0.2">
      <c r="B36" t="s">
        <v>814</v>
      </c>
      <c r="D36" s="20">
        <f>D33</f>
        <v>5819871.2699999996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557989.09</v>
      </c>
      <c r="D8" s="95">
        <f>'DOE25'!G9</f>
        <v>24264.1</v>
      </c>
      <c r="E8" s="95">
        <f>'DOE25'!H9</f>
        <v>0</v>
      </c>
      <c r="F8" s="95">
        <f>'DOE25'!I9</f>
        <v>0</v>
      </c>
      <c r="G8" s="95">
        <f>'DOE25'!J9</f>
        <v>537087.72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48945.919999999998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18972.48</v>
      </c>
      <c r="D12" s="95">
        <f>'DOE25'!G13</f>
        <v>5409.47</v>
      </c>
      <c r="E12" s="95">
        <f>'DOE25'!H13</f>
        <v>63963.25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548.73</v>
      </c>
      <c r="D13" s="95">
        <f>'DOE25'!G14</f>
        <v>1141.8499999999999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7727.61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626456.22</v>
      </c>
      <c r="D18" s="41">
        <f>SUM(D8:D17)</f>
        <v>38543.03</v>
      </c>
      <c r="E18" s="41">
        <f>SUM(E8:E17)</f>
        <v>63963.25</v>
      </c>
      <c r="F18" s="41">
        <f>SUM(F8:F17)</f>
        <v>0</v>
      </c>
      <c r="G18" s="41">
        <f>SUM(G8:G17)</f>
        <v>537087.72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48945.919999999998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31935.4</v>
      </c>
      <c r="D23" s="95">
        <f>'DOE25'!G24</f>
        <v>8839.31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32163.910000000003</v>
      </c>
      <c r="D27" s="95">
        <f>'DOE25'!G28</f>
        <v>0</v>
      </c>
      <c r="E27" s="95">
        <f>'DOE25'!H28</f>
        <v>15017.33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8768.7999999999993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20904.23</v>
      </c>
      <c r="D29" s="95">
        <f>'DOE25'!G30</f>
        <v>323.13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93772.34</v>
      </c>
      <c r="D31" s="41">
        <f>SUM(D21:D30)</f>
        <v>9162.4399999999987</v>
      </c>
      <c r="E31" s="41">
        <f>SUM(E21:E30)</f>
        <v>63963.25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7727.61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25000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21652.98</v>
      </c>
      <c r="E47" s="95">
        <f>'DOE25'!H48</f>
        <v>0</v>
      </c>
      <c r="F47" s="95">
        <f>'DOE25'!I48</f>
        <v>0</v>
      </c>
      <c r="G47" s="95">
        <f>'DOE25'!J48</f>
        <v>512087.72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532683.88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532683.88</v>
      </c>
      <c r="D50" s="41">
        <f>SUM(D34:D49)</f>
        <v>29380.59</v>
      </c>
      <c r="E50" s="41">
        <f>SUM(E34:E49)</f>
        <v>0</v>
      </c>
      <c r="F50" s="41">
        <f>SUM(F34:F49)</f>
        <v>0</v>
      </c>
      <c r="G50" s="41">
        <f>SUM(G34:G49)</f>
        <v>537087.72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626456.22</v>
      </c>
      <c r="D51" s="41">
        <f>D50+D31</f>
        <v>38543.03</v>
      </c>
      <c r="E51" s="41">
        <f>E50+E31</f>
        <v>63963.25</v>
      </c>
      <c r="F51" s="41">
        <f>F50+F31</f>
        <v>0</v>
      </c>
      <c r="G51" s="41">
        <f>G50+G31</f>
        <v>537087.72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2146942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1466013.69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58.78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6185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80986.66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220737.52000000002</v>
      </c>
      <c r="D61" s="95">
        <f>SUM('DOE25'!G98:G110)</f>
        <v>0</v>
      </c>
      <c r="E61" s="95">
        <f>SUM('DOE25'!H98:H110)</f>
        <v>4409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1686809.99</v>
      </c>
      <c r="D62" s="130">
        <f>SUM(D57:D61)</f>
        <v>80986.66</v>
      </c>
      <c r="E62" s="130">
        <f>SUM(E57:E61)</f>
        <v>4409</v>
      </c>
      <c r="F62" s="130">
        <f>SUM(F57:F61)</f>
        <v>0</v>
      </c>
      <c r="G62" s="130">
        <f>SUM(G57:G61)</f>
        <v>6185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3833751.99</v>
      </c>
      <c r="D63" s="22">
        <f>D56+D62</f>
        <v>80986.66</v>
      </c>
      <c r="E63" s="22">
        <f>E56+E62</f>
        <v>4409</v>
      </c>
      <c r="F63" s="22">
        <f>F56+F62</f>
        <v>0</v>
      </c>
      <c r="G63" s="22">
        <f>G56+G62</f>
        <v>6185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1767259.34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366084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2133343.34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158313.69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6503.77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158313.69</v>
      </c>
      <c r="D78" s="130">
        <f>SUM(D72:D77)</f>
        <v>6503.77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2291657.0299999998</v>
      </c>
      <c r="D81" s="130">
        <f>SUM(D79:D80)+D78+D70</f>
        <v>6503.77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6890.26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8583.8799999999992</v>
      </c>
      <c r="D88" s="95">
        <f>SUM('DOE25'!G153:G161)</f>
        <v>84818.98</v>
      </c>
      <c r="E88" s="95">
        <f>SUM('DOE25'!H153:H161)</f>
        <v>257209.57000000004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5805.3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14389.18</v>
      </c>
      <c r="D91" s="131">
        <f>SUM(D85:D90)</f>
        <v>84818.98</v>
      </c>
      <c r="E91" s="131">
        <f>SUM(E85:E90)</f>
        <v>264099.83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31700</v>
      </c>
      <c r="E96" s="95">
        <f>'DOE25'!H179</f>
        <v>0</v>
      </c>
      <c r="F96" s="95">
        <f>'DOE25'!I179</f>
        <v>0</v>
      </c>
      <c r="G96" s="95">
        <f>'DOE25'!J179</f>
        <v>16000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31700</v>
      </c>
      <c r="E103" s="86">
        <f>SUM(E93:E102)</f>
        <v>0</v>
      </c>
      <c r="F103" s="86">
        <f>SUM(F93:F102)</f>
        <v>0</v>
      </c>
      <c r="G103" s="86">
        <f>SUM(G93:G102)</f>
        <v>16000</v>
      </c>
    </row>
    <row r="104" spans="1:7" ht="12.75" thickTop="1" thickBot="1" x14ac:dyDescent="0.25">
      <c r="A104" s="33" t="s">
        <v>764</v>
      </c>
      <c r="C104" s="86">
        <f>C63+C81+C91+C103</f>
        <v>6139798.1999999993</v>
      </c>
      <c r="D104" s="86">
        <f>D63+D81+D91+D103</f>
        <v>204009.41</v>
      </c>
      <c r="E104" s="86">
        <f>E63+E81+E91+E103</f>
        <v>268508.83</v>
      </c>
      <c r="F104" s="86">
        <f>F63+F81+F91+F103</f>
        <v>0</v>
      </c>
      <c r="G104" s="86">
        <f>G63+G81+G103</f>
        <v>22185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2484678.7199999997</v>
      </c>
      <c r="D109" s="24" t="s">
        <v>288</v>
      </c>
      <c r="E109" s="95">
        <f>('DOE25'!L276)+('DOE25'!L295)+('DOE25'!L314)</f>
        <v>165397.28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555069.69999999995</v>
      </c>
      <c r="D110" s="24" t="s">
        <v>288</v>
      </c>
      <c r="E110" s="95">
        <f>('DOE25'!L277)+('DOE25'!L296)+('DOE25'!L315)</f>
        <v>43093.03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122326.10999999999</v>
      </c>
      <c r="D112" s="24" t="s">
        <v>288</v>
      </c>
      <c r="E112" s="95">
        <f>+('DOE25'!L279)+('DOE25'!L298)+('DOE25'!L317)</f>
        <v>7156.9299999999994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3162074.53</v>
      </c>
      <c r="D115" s="86">
        <f>SUM(D109:D114)</f>
        <v>0</v>
      </c>
      <c r="E115" s="86">
        <f>SUM(E109:E114)</f>
        <v>215647.24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678485.77000000014</v>
      </c>
      <c r="D118" s="24" t="s">
        <v>288</v>
      </c>
      <c r="E118" s="95">
        <f>+('DOE25'!L281)+('DOE25'!L300)+('DOE25'!L319)</f>
        <v>18183.330000000002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129239.55</v>
      </c>
      <c r="D119" s="24" t="s">
        <v>288</v>
      </c>
      <c r="E119" s="95">
        <f>+('DOE25'!L282)+('DOE25'!L301)+('DOE25'!L320)</f>
        <v>28628.59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395317.47000000003</v>
      </c>
      <c r="D120" s="24" t="s">
        <v>288</v>
      </c>
      <c r="E120" s="95">
        <f>+('DOE25'!L283)+('DOE25'!L302)+('DOE25'!L321)</f>
        <v>3912.67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404806.54000000004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1500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729772.32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228402.69</v>
      </c>
      <c r="D124" s="24" t="s">
        <v>288</v>
      </c>
      <c r="E124" s="95">
        <f>+('DOE25'!L287)+('DOE25'!L306)+('DOE25'!L325)</f>
        <v>637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193415.93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2566024.3400000003</v>
      </c>
      <c r="D128" s="86">
        <f>SUM(D118:D127)</f>
        <v>193415.93</v>
      </c>
      <c r="E128" s="86">
        <f>SUM(E118:E127)</f>
        <v>52861.59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9165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31700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22185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-6185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23836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470701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6198799.8700000001</v>
      </c>
      <c r="D145" s="86">
        <f>(D115+D128+D144)</f>
        <v>193415.93</v>
      </c>
      <c r="E145" s="86">
        <f>(E115+E128+E144)</f>
        <v>268508.82999999996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COLEBROOK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15930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19363</v>
      </c>
    </row>
    <row r="7" spans="1:4" x14ac:dyDescent="0.2">
      <c r="B7" t="s">
        <v>704</v>
      </c>
      <c r="C7" s="179">
        <f>IF('DOE25'!I665+'DOE25'!I670=0,0,ROUND('DOE25'!I672,0))</f>
        <v>17163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2650076</v>
      </c>
      <c r="D10" s="182">
        <f>ROUND((C10/$C$28)*100,1)</f>
        <v>43.1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598163</v>
      </c>
      <c r="D11" s="182">
        <f>ROUND((C11/$C$28)*100,1)</f>
        <v>9.6999999999999993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129483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696669</v>
      </c>
      <c r="D15" s="182">
        <f t="shared" ref="D15:D27" si="0">ROUND((C15/$C$28)*100,1)</f>
        <v>11.3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157868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399230</v>
      </c>
      <c r="D17" s="182">
        <f t="shared" si="0"/>
        <v>6.5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404807</v>
      </c>
      <c r="D18" s="182">
        <f t="shared" si="0"/>
        <v>6.6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1500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729772</v>
      </c>
      <c r="D20" s="182">
        <f t="shared" si="0"/>
        <v>11.9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229040</v>
      </c>
      <c r="D21" s="182">
        <f t="shared" si="0"/>
        <v>3.7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9165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23836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112429.34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6142038.3399999999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6142038.3399999999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2146942</v>
      </c>
      <c r="D35" s="182">
        <f t="shared" ref="D35:D40" si="1">ROUND((C35/$C$41)*100,1)</f>
        <v>33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1697403.9899999998</v>
      </c>
      <c r="D36" s="182">
        <f t="shared" si="1"/>
        <v>26.1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2133343</v>
      </c>
      <c r="D37" s="182">
        <f t="shared" si="1"/>
        <v>32.799999999999997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164817</v>
      </c>
      <c r="D38" s="182">
        <f t="shared" si="1"/>
        <v>2.5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363308</v>
      </c>
      <c r="D39" s="182">
        <f t="shared" si="1"/>
        <v>5.6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6505813.9900000002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769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766</v>
      </c>
      <c r="B2" s="302"/>
      <c r="C2" s="302"/>
      <c r="D2" s="302"/>
      <c r="E2" s="302"/>
      <c r="F2" s="299" t="str">
        <f>'DOE25'!A2</f>
        <v>COLEBROOK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7" t="s">
        <v>770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23</v>
      </c>
      <c r="B4" s="219"/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847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2017-12-04T18:38:25Z</cp:lastPrinted>
  <dcterms:created xsi:type="dcterms:W3CDTF">1997-12-04T19:04:30Z</dcterms:created>
  <dcterms:modified xsi:type="dcterms:W3CDTF">2017-12-04T18:38:28Z</dcterms:modified>
</cp:coreProperties>
</file>