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57" i="1" l="1"/>
  <c r="D11" i="13" l="1"/>
  <c r="C39" i="12" l="1"/>
  <c r="C38" i="12"/>
  <c r="C37" i="12"/>
  <c r="B39" i="12"/>
  <c r="C30" i="12"/>
  <c r="C29" i="12"/>
  <c r="C28" i="12"/>
  <c r="B30" i="12"/>
  <c r="C21" i="12"/>
  <c r="C20" i="12"/>
  <c r="C19" i="12"/>
  <c r="B21" i="12"/>
  <c r="C12" i="12"/>
  <c r="C11" i="12"/>
  <c r="C10" i="12"/>
  <c r="B12" i="12"/>
  <c r="F499" i="1" l="1"/>
  <c r="F502" i="1"/>
  <c r="I604" i="1" l="1"/>
  <c r="K215" i="1"/>
  <c r="J215" i="1"/>
  <c r="J597" i="1"/>
  <c r="J596" i="1"/>
  <c r="J595" i="1"/>
  <c r="J594" i="1"/>
  <c r="J593" i="1"/>
  <c r="J592" i="1"/>
  <c r="J591" i="1"/>
  <c r="I597" i="1"/>
  <c r="I596" i="1"/>
  <c r="I595" i="1"/>
  <c r="I594" i="1"/>
  <c r="I593" i="1"/>
  <c r="I592" i="1"/>
  <c r="I591" i="1"/>
  <c r="H597" i="1"/>
  <c r="H596" i="1"/>
  <c r="H595" i="1"/>
  <c r="H594" i="1"/>
  <c r="H593" i="1"/>
  <c r="H592" i="1"/>
  <c r="H591" i="1"/>
  <c r="H582" i="1"/>
  <c r="G582" i="1"/>
  <c r="F582" i="1"/>
  <c r="H564" i="1"/>
  <c r="H563" i="1"/>
  <c r="H562" i="1"/>
  <c r="G533" i="1"/>
  <c r="F533" i="1"/>
  <c r="G532" i="1"/>
  <c r="F532" i="1"/>
  <c r="G531" i="1"/>
  <c r="F531" i="1"/>
  <c r="G543" i="1"/>
  <c r="K543" i="1"/>
  <c r="H543" i="1"/>
  <c r="F543" i="1"/>
  <c r="K542" i="1"/>
  <c r="H542" i="1"/>
  <c r="G542" i="1"/>
  <c r="F542" i="1"/>
  <c r="K541" i="1"/>
  <c r="H541" i="1"/>
  <c r="G541" i="1"/>
  <c r="F541" i="1"/>
  <c r="K528" i="1"/>
  <c r="J528" i="1"/>
  <c r="I528" i="1"/>
  <c r="H528" i="1"/>
  <c r="G528" i="1"/>
  <c r="F528" i="1"/>
  <c r="K527" i="1"/>
  <c r="J527" i="1"/>
  <c r="I527" i="1"/>
  <c r="H527" i="1"/>
  <c r="G527" i="1"/>
  <c r="K526" i="1"/>
  <c r="J526" i="1"/>
  <c r="I526" i="1"/>
  <c r="H526" i="1"/>
  <c r="G526" i="1"/>
  <c r="F526" i="1"/>
  <c r="H538" i="1"/>
  <c r="H537" i="1"/>
  <c r="H536" i="1"/>
  <c r="K523" i="1"/>
  <c r="J523" i="1"/>
  <c r="I523" i="1"/>
  <c r="H523" i="1"/>
  <c r="G523" i="1"/>
  <c r="F523" i="1"/>
  <c r="J522" i="1"/>
  <c r="I522" i="1"/>
  <c r="H522" i="1"/>
  <c r="G522" i="1"/>
  <c r="F522" i="1"/>
  <c r="J521" i="1"/>
  <c r="I521" i="1"/>
  <c r="H521" i="1"/>
  <c r="G521" i="1"/>
  <c r="F521" i="1"/>
  <c r="I564" i="1"/>
  <c r="G564" i="1"/>
  <c r="F564" i="1"/>
  <c r="G563" i="1"/>
  <c r="F563" i="1"/>
  <c r="I562" i="1"/>
  <c r="G562" i="1"/>
  <c r="F562" i="1"/>
  <c r="J472" i="1"/>
  <c r="I400" i="1"/>
  <c r="H400" i="1"/>
  <c r="G400" i="1"/>
  <c r="H376" i="1"/>
  <c r="J380" i="1"/>
  <c r="H380" i="1"/>
  <c r="K379" i="1"/>
  <c r="J379" i="1"/>
  <c r="I379" i="1"/>
  <c r="H379" i="1"/>
  <c r="H378" i="1"/>
  <c r="I380" i="1"/>
  <c r="G380" i="1"/>
  <c r="F380" i="1"/>
  <c r="H368" i="1"/>
  <c r="H367" i="1"/>
  <c r="G368" i="1"/>
  <c r="G367" i="1"/>
  <c r="F368" i="1"/>
  <c r="F367" i="1"/>
  <c r="I360" i="1"/>
  <c r="I359" i="1"/>
  <c r="I358" i="1"/>
  <c r="K360" i="1"/>
  <c r="H360" i="1"/>
  <c r="G360" i="1"/>
  <c r="F360" i="1"/>
  <c r="K359" i="1"/>
  <c r="H359" i="1"/>
  <c r="G359" i="1"/>
  <c r="F359" i="1"/>
  <c r="K358" i="1"/>
  <c r="H358" i="1"/>
  <c r="G358" i="1"/>
  <c r="F358" i="1"/>
  <c r="J360" i="1"/>
  <c r="J359" i="1"/>
  <c r="I298" i="1" l="1"/>
  <c r="I317" i="1"/>
  <c r="H317" i="1"/>
  <c r="G317" i="1"/>
  <c r="F317" i="1"/>
  <c r="H298" i="1"/>
  <c r="G298" i="1"/>
  <c r="F298" i="1"/>
  <c r="I279" i="1"/>
  <c r="H279" i="1"/>
  <c r="G279" i="1"/>
  <c r="F279" i="1"/>
  <c r="H325" i="1"/>
  <c r="I321" i="1"/>
  <c r="H321" i="1"/>
  <c r="G321" i="1"/>
  <c r="F321" i="1"/>
  <c r="I302" i="1"/>
  <c r="H302" i="1"/>
  <c r="G302" i="1"/>
  <c r="F302" i="1"/>
  <c r="I283" i="1"/>
  <c r="H283" i="1"/>
  <c r="G283" i="1"/>
  <c r="F283" i="1"/>
  <c r="J320" i="1"/>
  <c r="I320" i="1"/>
  <c r="H320" i="1"/>
  <c r="G320" i="1"/>
  <c r="F320" i="1"/>
  <c r="J301" i="1"/>
  <c r="I301" i="1"/>
  <c r="H301" i="1"/>
  <c r="G301" i="1"/>
  <c r="F301" i="1"/>
  <c r="J282" i="1"/>
  <c r="I282" i="1"/>
  <c r="H282" i="1"/>
  <c r="G282" i="1"/>
  <c r="F282" i="1"/>
  <c r="I319" i="1"/>
  <c r="H319" i="1"/>
  <c r="G319" i="1"/>
  <c r="F319" i="1"/>
  <c r="I300" i="1"/>
  <c r="H300" i="1"/>
  <c r="G300" i="1"/>
  <c r="F300" i="1"/>
  <c r="I281" i="1"/>
  <c r="H281" i="1"/>
  <c r="G281" i="1"/>
  <c r="F281" i="1"/>
  <c r="I315" i="1"/>
  <c r="H315" i="1"/>
  <c r="H296" i="1"/>
  <c r="I277" i="1"/>
  <c r="H277" i="1"/>
  <c r="J314" i="1"/>
  <c r="I314" i="1"/>
  <c r="H314" i="1"/>
  <c r="G314" i="1"/>
  <c r="F314" i="1"/>
  <c r="J295" i="1"/>
  <c r="I295" i="1"/>
  <c r="H295" i="1"/>
  <c r="G295" i="1"/>
  <c r="F295" i="1"/>
  <c r="J276" i="1"/>
  <c r="I276" i="1"/>
  <c r="H276" i="1"/>
  <c r="G276" i="1"/>
  <c r="F276" i="1"/>
  <c r="J333" i="1"/>
  <c r="I333" i="1"/>
  <c r="H333" i="1"/>
  <c r="G333" i="1"/>
  <c r="F333" i="1"/>
  <c r="J316" i="1"/>
  <c r="I316" i="1"/>
  <c r="H316" i="1"/>
  <c r="J319" i="1"/>
  <c r="K316" i="1"/>
  <c r="G316" i="1"/>
  <c r="F316" i="1"/>
  <c r="H306" i="1"/>
  <c r="G296" i="1"/>
  <c r="F296" i="1"/>
  <c r="J281" i="1"/>
  <c r="G277" i="1"/>
  <c r="F277" i="1"/>
  <c r="G315" i="1"/>
  <c r="F315" i="1"/>
  <c r="G243" i="1"/>
  <c r="G225" i="1"/>
  <c r="G207" i="1"/>
  <c r="G241" i="1"/>
  <c r="G223" i="1"/>
  <c r="G205" i="1"/>
  <c r="G239" i="1"/>
  <c r="G221" i="1"/>
  <c r="G203" i="1"/>
  <c r="G238" i="1"/>
  <c r="G220" i="1"/>
  <c r="G202" i="1"/>
  <c r="G251" i="1"/>
  <c r="G236" i="1"/>
  <c r="G218" i="1"/>
  <c r="G200" i="1"/>
  <c r="G235" i="1"/>
  <c r="G234" i="1"/>
  <c r="F200" i="1"/>
  <c r="F218" i="1"/>
  <c r="G216" i="1"/>
  <c r="G198" i="1"/>
  <c r="G233" i="1"/>
  <c r="G215" i="1"/>
  <c r="G197" i="1"/>
  <c r="F233" i="1"/>
  <c r="F215" i="1"/>
  <c r="F197" i="1"/>
  <c r="F50" i="1"/>
  <c r="F17" i="1"/>
  <c r="H255" i="1" l="1"/>
  <c r="K266" i="1"/>
  <c r="K263" i="1"/>
  <c r="K261" i="1"/>
  <c r="K260" i="1"/>
  <c r="I245" i="1"/>
  <c r="H245" i="1"/>
  <c r="G245" i="1"/>
  <c r="F245" i="1"/>
  <c r="I227" i="1"/>
  <c r="H227" i="1"/>
  <c r="G227" i="1"/>
  <c r="F227" i="1"/>
  <c r="I209" i="1"/>
  <c r="H209" i="1"/>
  <c r="G209" i="1"/>
  <c r="F209" i="1"/>
  <c r="K244" i="1"/>
  <c r="J244" i="1"/>
  <c r="I244" i="1"/>
  <c r="H244" i="1"/>
  <c r="G244" i="1"/>
  <c r="F244" i="1"/>
  <c r="K226" i="1"/>
  <c r="J226" i="1"/>
  <c r="I226" i="1"/>
  <c r="H226" i="1"/>
  <c r="G226" i="1"/>
  <c r="F226" i="1"/>
  <c r="K208" i="1"/>
  <c r="J208" i="1"/>
  <c r="I208" i="1"/>
  <c r="H208" i="1"/>
  <c r="G208" i="1"/>
  <c r="F208" i="1"/>
  <c r="K243" i="1"/>
  <c r="J243" i="1"/>
  <c r="I243" i="1"/>
  <c r="H243" i="1"/>
  <c r="F243" i="1"/>
  <c r="K225" i="1"/>
  <c r="J225" i="1"/>
  <c r="I225" i="1"/>
  <c r="H225" i="1"/>
  <c r="F225" i="1"/>
  <c r="K207" i="1"/>
  <c r="J207" i="1"/>
  <c r="I207" i="1"/>
  <c r="H207" i="1"/>
  <c r="F207" i="1"/>
  <c r="K242" i="1"/>
  <c r="J242" i="1"/>
  <c r="I242" i="1"/>
  <c r="H242" i="1"/>
  <c r="G242" i="1"/>
  <c r="F242" i="1"/>
  <c r="K224" i="1"/>
  <c r="J224" i="1"/>
  <c r="I224" i="1"/>
  <c r="H224" i="1"/>
  <c r="G224" i="1"/>
  <c r="F224" i="1"/>
  <c r="K206" i="1"/>
  <c r="I206" i="1"/>
  <c r="H206" i="1"/>
  <c r="G206" i="1"/>
  <c r="F206" i="1"/>
  <c r="K240" i="1"/>
  <c r="J240" i="1"/>
  <c r="I240" i="1"/>
  <c r="H240" i="1"/>
  <c r="G240" i="1"/>
  <c r="F240" i="1"/>
  <c r="K222" i="1"/>
  <c r="J222" i="1"/>
  <c r="I222" i="1"/>
  <c r="H222" i="1"/>
  <c r="G222" i="1"/>
  <c r="F222" i="1"/>
  <c r="J204" i="1"/>
  <c r="I204" i="1"/>
  <c r="H204" i="1"/>
  <c r="G204" i="1"/>
  <c r="F204" i="1"/>
  <c r="K239" i="1"/>
  <c r="J239" i="1"/>
  <c r="I239" i="1"/>
  <c r="H239" i="1"/>
  <c r="F239" i="1"/>
  <c r="K221" i="1"/>
  <c r="J221" i="1"/>
  <c r="I221" i="1"/>
  <c r="H221" i="1"/>
  <c r="F221" i="1"/>
  <c r="K203" i="1"/>
  <c r="J203" i="1"/>
  <c r="I203" i="1"/>
  <c r="H203" i="1"/>
  <c r="F203" i="1"/>
  <c r="K238" i="1"/>
  <c r="J238" i="1"/>
  <c r="I238" i="1"/>
  <c r="H238" i="1"/>
  <c r="F238" i="1"/>
  <c r="K220" i="1"/>
  <c r="J220" i="1"/>
  <c r="I220" i="1"/>
  <c r="H220" i="1"/>
  <c r="F220" i="1"/>
  <c r="K202" i="1"/>
  <c r="J202" i="1"/>
  <c r="I202" i="1"/>
  <c r="H202" i="1"/>
  <c r="F202" i="1"/>
  <c r="F236" i="1"/>
  <c r="J234" i="1"/>
  <c r="I234" i="1"/>
  <c r="H234" i="1"/>
  <c r="F234" i="1"/>
  <c r="J216" i="1"/>
  <c r="I216" i="1"/>
  <c r="H216" i="1"/>
  <c r="F216" i="1"/>
  <c r="J198" i="1"/>
  <c r="I198" i="1"/>
  <c r="H198" i="1"/>
  <c r="F198" i="1"/>
  <c r="I233" i="1"/>
  <c r="H233" i="1"/>
  <c r="I215" i="1"/>
  <c r="H215" i="1"/>
  <c r="I197" i="1"/>
  <c r="H197" i="1"/>
  <c r="K251" i="1"/>
  <c r="J251" i="1"/>
  <c r="I251" i="1"/>
  <c r="H251" i="1"/>
  <c r="F251" i="1"/>
  <c r="J255" i="1"/>
  <c r="I255" i="1"/>
  <c r="K241" i="1"/>
  <c r="J241" i="1"/>
  <c r="I241" i="1"/>
  <c r="H241" i="1"/>
  <c r="F241" i="1"/>
  <c r="K236" i="1"/>
  <c r="J236" i="1"/>
  <c r="I236" i="1"/>
  <c r="H236" i="1"/>
  <c r="I235" i="1"/>
  <c r="H235" i="1"/>
  <c r="J235" i="1"/>
  <c r="K235" i="1"/>
  <c r="F235" i="1"/>
  <c r="K234" i="1"/>
  <c r="K233" i="1"/>
  <c r="J233" i="1"/>
  <c r="K223" i="1"/>
  <c r="J223" i="1"/>
  <c r="I223" i="1"/>
  <c r="H223" i="1"/>
  <c r="F223" i="1"/>
  <c r="K218" i="1"/>
  <c r="J218" i="1"/>
  <c r="I218" i="1"/>
  <c r="H218" i="1"/>
  <c r="K205" i="1"/>
  <c r="J205" i="1"/>
  <c r="I205" i="1"/>
  <c r="H205" i="1"/>
  <c r="F205" i="1"/>
  <c r="K198" i="1"/>
  <c r="J102" i="1" l="1"/>
  <c r="J96" i="1"/>
  <c r="J468" i="1"/>
  <c r="F48" i="1"/>
  <c r="I186" i="1"/>
  <c r="I174" i="1"/>
  <c r="I173" i="1"/>
  <c r="H135" i="1"/>
  <c r="H161" i="1"/>
  <c r="H159" i="1"/>
  <c r="H156" i="1"/>
  <c r="H155" i="1"/>
  <c r="H154" i="1"/>
  <c r="H131" i="1"/>
  <c r="H102" i="1"/>
  <c r="H96" i="1"/>
  <c r="G158" i="1"/>
  <c r="G110" i="1"/>
  <c r="G97" i="1"/>
  <c r="G96" i="1"/>
  <c r="F69" i="1"/>
  <c r="F127" i="1"/>
  <c r="F110" i="1"/>
  <c r="F109" i="1"/>
  <c r="F101" i="1"/>
  <c r="F98" i="1"/>
  <c r="F96" i="1"/>
  <c r="F83" i="1"/>
  <c r="F70" i="1"/>
  <c r="F68" i="1"/>
  <c r="F66" i="1"/>
  <c r="F64" i="1"/>
  <c r="F63" i="1"/>
  <c r="G459" i="1"/>
  <c r="G448" i="1"/>
  <c r="G441" i="1"/>
  <c r="G440" i="1"/>
  <c r="I48" i="1"/>
  <c r="H4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E124" i="2" s="1"/>
  <c r="L326" i="1"/>
  <c r="L333" i="1"/>
  <c r="E114" i="2" s="1"/>
  <c r="L334" i="1"/>
  <c r="L335" i="1"/>
  <c r="L260" i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H147" i="1"/>
  <c r="E85" i="2" s="1"/>
  <c r="H162" i="1"/>
  <c r="I147" i="1"/>
  <c r="I162" i="1"/>
  <c r="L250" i="1"/>
  <c r="L332" i="1"/>
  <c r="L254" i="1"/>
  <c r="L268" i="1"/>
  <c r="L269" i="1"/>
  <c r="C143" i="2" s="1"/>
  <c r="L349" i="1"/>
  <c r="L350" i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C114" i="2"/>
  <c r="D115" i="2"/>
  <c r="F115" i="2"/>
  <c r="G115" i="2"/>
  <c r="E119" i="2"/>
  <c r="E120" i="2"/>
  <c r="E122" i="2"/>
  <c r="E123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H460" i="1"/>
  <c r="F461" i="1"/>
  <c r="G461" i="1"/>
  <c r="H640" i="1" s="1"/>
  <c r="H461" i="1"/>
  <c r="H641" i="1" s="1"/>
  <c r="F470" i="1"/>
  <c r="G470" i="1"/>
  <c r="H470" i="1"/>
  <c r="I470" i="1"/>
  <c r="J470" i="1"/>
  <c r="F474" i="1"/>
  <c r="F476" i="1" s="1"/>
  <c r="H622" i="1" s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J571" i="1" s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G643" i="1"/>
  <c r="H643" i="1"/>
  <c r="J643" i="1" s="1"/>
  <c r="G644" i="1"/>
  <c r="G645" i="1"/>
  <c r="G650" i="1"/>
  <c r="G651" i="1"/>
  <c r="G652" i="1"/>
  <c r="H652" i="1"/>
  <c r="G653" i="1"/>
  <c r="H653" i="1"/>
  <c r="G654" i="1"/>
  <c r="H654" i="1"/>
  <c r="H655" i="1"/>
  <c r="F192" i="1"/>
  <c r="C26" i="10"/>
  <c r="D62" i="2"/>
  <c r="F18" i="2"/>
  <c r="D91" i="2"/>
  <c r="E78" i="2"/>
  <c r="H112" i="1"/>
  <c r="J639" i="1"/>
  <c r="K571" i="1"/>
  <c r="L419" i="1"/>
  <c r="I169" i="1"/>
  <c r="J476" i="1"/>
  <c r="H626" i="1" s="1"/>
  <c r="H476" i="1"/>
  <c r="H624" i="1" s="1"/>
  <c r="J624" i="1" s="1"/>
  <c r="I476" i="1"/>
  <c r="H625" i="1" s="1"/>
  <c r="J140" i="1"/>
  <c r="I552" i="1"/>
  <c r="K545" i="1"/>
  <c r="L560" i="1"/>
  <c r="J545" i="1"/>
  <c r="H192" i="1"/>
  <c r="J655" i="1"/>
  <c r="L570" i="1"/>
  <c r="G36" i="2"/>
  <c r="A31" i="12" l="1"/>
  <c r="J651" i="1"/>
  <c r="K598" i="1"/>
  <c r="G647" i="1" s="1"/>
  <c r="L534" i="1"/>
  <c r="G545" i="1"/>
  <c r="K550" i="1"/>
  <c r="H545" i="1"/>
  <c r="I545" i="1"/>
  <c r="H571" i="1"/>
  <c r="L565" i="1"/>
  <c r="L571" i="1" s="1"/>
  <c r="F571" i="1"/>
  <c r="F130" i="2"/>
  <c r="F144" i="2" s="1"/>
  <c r="F145" i="2" s="1"/>
  <c r="L382" i="1"/>
  <c r="G636" i="1" s="1"/>
  <c r="J636" i="1" s="1"/>
  <c r="I369" i="1"/>
  <c r="H634" i="1" s="1"/>
  <c r="F661" i="1"/>
  <c r="J634" i="1"/>
  <c r="D127" i="2"/>
  <c r="D128" i="2" s="1"/>
  <c r="D145" i="2" s="1"/>
  <c r="H662" i="1"/>
  <c r="H338" i="1"/>
  <c r="H352" i="1" s="1"/>
  <c r="E118" i="2"/>
  <c r="G338" i="1"/>
  <c r="G352" i="1" s="1"/>
  <c r="L309" i="1"/>
  <c r="L290" i="1"/>
  <c r="L328" i="1"/>
  <c r="F338" i="1"/>
  <c r="F352" i="1" s="1"/>
  <c r="E109" i="2"/>
  <c r="C125" i="2"/>
  <c r="C122" i="2"/>
  <c r="E13" i="13"/>
  <c r="C13" i="13" s="1"/>
  <c r="C19" i="10"/>
  <c r="E8" i="13"/>
  <c r="C8" i="13" s="1"/>
  <c r="C120" i="2"/>
  <c r="D17" i="13"/>
  <c r="C17" i="13" s="1"/>
  <c r="C112" i="2"/>
  <c r="C123" i="2"/>
  <c r="D12" i="13"/>
  <c r="C12" i="13" s="1"/>
  <c r="D7" i="13"/>
  <c r="C7" i="13" s="1"/>
  <c r="C110" i="2"/>
  <c r="J257" i="1"/>
  <c r="J271" i="1" s="1"/>
  <c r="I257" i="1"/>
  <c r="I271" i="1" s="1"/>
  <c r="G257" i="1"/>
  <c r="G271" i="1" s="1"/>
  <c r="C10" i="10"/>
  <c r="L256" i="1"/>
  <c r="H257" i="1"/>
  <c r="H271" i="1" s="1"/>
  <c r="C109" i="2"/>
  <c r="A13" i="12"/>
  <c r="G62" i="2"/>
  <c r="J645" i="1"/>
  <c r="J644" i="1"/>
  <c r="E62" i="2"/>
  <c r="E63" i="2" s="1"/>
  <c r="J640" i="1"/>
  <c r="E31" i="2"/>
  <c r="J623" i="1"/>
  <c r="D31" i="2"/>
  <c r="D18" i="2"/>
  <c r="J622" i="1"/>
  <c r="J617" i="1"/>
  <c r="J641" i="1"/>
  <c r="C85" i="2"/>
  <c r="C91" i="2" s="1"/>
  <c r="F169" i="1"/>
  <c r="C131" i="2"/>
  <c r="H25" i="13"/>
  <c r="E125" i="2"/>
  <c r="E112" i="2"/>
  <c r="E115" i="2" s="1"/>
  <c r="C13" i="10"/>
  <c r="C35" i="10"/>
  <c r="H169" i="1"/>
  <c r="D63" i="2"/>
  <c r="K338" i="1"/>
  <c r="K352" i="1" s="1"/>
  <c r="C119" i="2"/>
  <c r="G661" i="1"/>
  <c r="C20" i="10"/>
  <c r="C11" i="10"/>
  <c r="F112" i="1"/>
  <c r="C56" i="2"/>
  <c r="A40" i="12"/>
  <c r="L362" i="1"/>
  <c r="G635" i="1" s="1"/>
  <c r="J635" i="1" s="1"/>
  <c r="H661" i="1"/>
  <c r="D18" i="13"/>
  <c r="C18" i="13" s="1"/>
  <c r="C21" i="10"/>
  <c r="H647" i="1"/>
  <c r="F662" i="1"/>
  <c r="I662" i="1" s="1"/>
  <c r="C124" i="2"/>
  <c r="G649" i="1"/>
  <c r="J649" i="1" s="1"/>
  <c r="D15" i="13"/>
  <c r="C15" i="13" s="1"/>
  <c r="C118" i="2"/>
  <c r="D6" i="13"/>
  <c r="C6" i="13" s="1"/>
  <c r="C12" i="10"/>
  <c r="C111" i="2"/>
  <c r="E121" i="2"/>
  <c r="C18" i="10"/>
  <c r="L247" i="1"/>
  <c r="D5" i="13"/>
  <c r="C5" i="13" s="1"/>
  <c r="F22" i="13"/>
  <c r="C22" i="13" s="1"/>
  <c r="J647" i="1"/>
  <c r="D14" i="13"/>
  <c r="C14" i="13" s="1"/>
  <c r="I52" i="1"/>
  <c r="H620" i="1" s="1"/>
  <c r="G625" i="1"/>
  <c r="J625" i="1" s="1"/>
  <c r="G164" i="2"/>
  <c r="G156" i="2"/>
  <c r="G549" i="1"/>
  <c r="L529" i="1"/>
  <c r="L211" i="1"/>
  <c r="C16" i="10"/>
  <c r="L401" i="1"/>
  <c r="C139" i="2" s="1"/>
  <c r="L351" i="1"/>
  <c r="L229" i="1"/>
  <c r="E16" i="13"/>
  <c r="C17" i="10"/>
  <c r="C29" i="10"/>
  <c r="D29" i="13"/>
  <c r="C29" i="13" s="1"/>
  <c r="K500" i="1"/>
  <c r="I460" i="1"/>
  <c r="I452" i="1"/>
  <c r="I446" i="1"/>
  <c r="G642" i="1" s="1"/>
  <c r="K257" i="1"/>
  <c r="K271" i="1" s="1"/>
  <c r="G157" i="2"/>
  <c r="F81" i="2"/>
  <c r="C70" i="2"/>
  <c r="C81" i="2" s="1"/>
  <c r="C62" i="2"/>
  <c r="C18" i="2"/>
  <c r="L270" i="1"/>
  <c r="J551" i="1"/>
  <c r="J552" i="1" s="1"/>
  <c r="L544" i="1"/>
  <c r="H552" i="1"/>
  <c r="F551" i="1"/>
  <c r="L524" i="1"/>
  <c r="C32" i="10"/>
  <c r="C15" i="10"/>
  <c r="J338" i="1"/>
  <c r="J352" i="1" s="1"/>
  <c r="E81" i="2"/>
  <c r="L61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I192" i="1"/>
  <c r="E91" i="2"/>
  <c r="L408" i="1"/>
  <c r="G637" i="1" s="1"/>
  <c r="J637" i="1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G571" i="1"/>
  <c r="I434" i="1"/>
  <c r="G434" i="1"/>
  <c r="I663" i="1"/>
  <c r="C27" i="10"/>
  <c r="C63" i="2" l="1"/>
  <c r="K551" i="1"/>
  <c r="G660" i="1"/>
  <c r="G664" i="1" s="1"/>
  <c r="G672" i="1" s="1"/>
  <c r="C5" i="10" s="1"/>
  <c r="F660" i="1"/>
  <c r="L338" i="1"/>
  <c r="L352" i="1" s="1"/>
  <c r="G633" i="1" s="1"/>
  <c r="J633" i="1" s="1"/>
  <c r="D31" i="13"/>
  <c r="C31" i="13" s="1"/>
  <c r="H660" i="1"/>
  <c r="H664" i="1" s="1"/>
  <c r="H667" i="1" s="1"/>
  <c r="C144" i="2"/>
  <c r="H648" i="1"/>
  <c r="J648" i="1" s="1"/>
  <c r="C115" i="2"/>
  <c r="E104" i="2"/>
  <c r="I661" i="1"/>
  <c r="C104" i="2"/>
  <c r="C36" i="10"/>
  <c r="E51" i="2"/>
  <c r="F664" i="1"/>
  <c r="C28" i="10"/>
  <c r="D24" i="10" s="1"/>
  <c r="F33" i="13"/>
  <c r="G104" i="2"/>
  <c r="C39" i="10"/>
  <c r="I461" i="1"/>
  <c r="H642" i="1" s="1"/>
  <c r="J642" i="1" s="1"/>
  <c r="E33" i="13"/>
  <c r="D35" i="13" s="1"/>
  <c r="C16" i="13"/>
  <c r="F193" i="1"/>
  <c r="G627" i="1" s="1"/>
  <c r="J627" i="1" s="1"/>
  <c r="L545" i="1"/>
  <c r="G552" i="1"/>
  <c r="K549" i="1"/>
  <c r="E128" i="2"/>
  <c r="E145" i="2" s="1"/>
  <c r="C128" i="2"/>
  <c r="F552" i="1"/>
  <c r="L257" i="1"/>
  <c r="L271" i="1" s="1"/>
  <c r="G632" i="1" s="1"/>
  <c r="J632" i="1" s="1"/>
  <c r="C25" i="13"/>
  <c r="H33" i="13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K552" i="1" l="1"/>
  <c r="C145" i="2"/>
  <c r="H672" i="1"/>
  <c r="C6" i="10" s="1"/>
  <c r="G667" i="1"/>
  <c r="I660" i="1"/>
  <c r="D33" i="13"/>
  <c r="D36" i="13" s="1"/>
  <c r="D13" i="10"/>
  <c r="D21" i="10"/>
  <c r="D11" i="10"/>
  <c r="D22" i="10"/>
  <c r="I664" i="1"/>
  <c r="I672" i="1" s="1"/>
  <c r="C7" i="10" s="1"/>
  <c r="D10" i="10"/>
  <c r="D26" i="10"/>
  <c r="C30" i="10"/>
  <c r="D16" i="10"/>
  <c r="D23" i="10"/>
  <c r="D27" i="10"/>
  <c r="D20" i="10"/>
  <c r="D18" i="10"/>
  <c r="D15" i="10"/>
  <c r="D17" i="10"/>
  <c r="D25" i="10"/>
  <c r="D12" i="10"/>
  <c r="D19" i="10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<sst xmlns="http://schemas.openxmlformats.org/spreadsheetml/2006/main" count="3958" uniqueCount="916">
  <si>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</si>
  <si>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</si>
  <si>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</si>
  <si>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</si>
  <si>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</si>
  <si>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</si>
  <si>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</si>
  <si>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</si>
  <si>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</si>
  <si>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</si>
  <si>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</si>
  <si>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</si>
  <si>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</si>
  <si>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</si>
  <si>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</si>
  <si>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</si>
  <si>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</si>
  <si>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</si>
  <si>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</si>
  <si>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</si>
  <si>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</si>
  <si>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</si>
  <si>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</si>
  <si>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</si>
  <si>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</si>
  <si>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</si>
  <si>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</si>
  <si>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</si>
  <si>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</si>
  <si>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</si>
  <si>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</si>
  <si>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</si>
  <si>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</si>
  <si>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</si>
  <si>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</si>
  <si>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</si>
  <si>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</si>
  <si>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</si>
  <si>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</si>
  <si>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</si>
  <si>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</si>
  <si>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</si>
  <si>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</si>
  <si>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</si>
  <si>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</si>
  <si>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</si>
  <si>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</si>
  <si>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</si>
  <si>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</si>
  <si>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</si>
  <si>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</si>
  <si>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</si>
  <si>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</si>
  <si>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</si>
  <si>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</si>
  <si>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</si>
  <si>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</si>
  <si>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</si>
  <si>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</si>
  <si>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</si>
  <si>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</si>
  <si>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</si>
  <si>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</si>
  <si>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</si>
  <si>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</si>
  <si>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</si>
  <si>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</si>
  <si>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</si>
  <si>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</si>
  <si>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</si>
  <si>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</si>
  <si>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</si>
  <si>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</si>
  <si>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</si>
  <si>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</si>
  <si>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</si>
  <si>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</si>
  <si>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</si>
  <si>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</si>
  <si>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</si>
  <si>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</si>
  <si>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</si>
  <si>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</si>
  <si>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</si>
  <si>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</si>
  <si>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</si>
  <si>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</si>
  <si>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</si>
  <si>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</si>
  <si>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</si>
  <si>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</si>
  <si>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</si>
  <si>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</si>
  <si>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</si>
  <si>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</si>
  <si>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</si>
  <si>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</si>
  <si>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</si>
  <si>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</si>
  <si>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</si>
  <si>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</si>
  <si>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</si>
  <si>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</si>
  <si>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</si>
  <si>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</si>
  <si>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</si>
  <si>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</si>
  <si>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</si>
  <si>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</si>
  <si>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</si>
  <si>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</si>
  <si>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</si>
  <si>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</si>
  <si>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</si>
  <si>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</si>
  <si>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</si>
  <si>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</si>
  <si>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</si>
  <si>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</si>
  <si>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</si>
  <si>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</si>
  <si>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</si>
  <si>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</si>
  <si>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</si>
  <si>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</si>
  <si>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</si>
  <si>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</si>
  <si>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</si>
  <si>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</si>
  <si>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</si>
  <si>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</si>
  <si>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</si>
  <si>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</si>
  <si>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</si>
  <si>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</si>
  <si>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</si>
  <si>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</si>
  <si>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</si>
  <si>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</si>
  <si>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</si>
  <si>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</si>
  <si>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</si>
  <si>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</si>
  <si>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</si>
  <si>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</si>
  <si>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</si>
  <si>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</si>
  <si>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</si>
  <si>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</si>
  <si>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</si>
  <si>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</si>
  <si>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</si>
  <si>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</si>
  <si>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</si>
  <si>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</si>
  <si>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</si>
  <si>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</si>
  <si>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</si>
  <si>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</si>
  <si>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</si>
  <si>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</si>
  <si>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</si>
  <si>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</si>
  <si>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</si>
  <si>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</si>
  <si>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</si>
  <si>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</si>
  <si>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</si>
  <si>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</si>
  <si>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</si>
  <si>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</si>
  <si>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</si>
  <si>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</si>
  <si>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</si>
  <si>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</si>
  <si>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</si>
  <si>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</si>
  <si>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</si>
  <si>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</si>
  <si>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</si>
  <si>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</si>
  <si>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</si>
  <si>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</si>
  <si>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</si>
  <si>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</si>
  <si>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</si>
  <si>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</si>
  <si>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</si>
  <si>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</si>
  <si>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</si>
  <si>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</si>
  <si>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</si>
  <si>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</si>
  <si>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</si>
  <si>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</si>
  <si>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</si>
  <si>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</si>
  <si>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</si>
  <si>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</si>
  <si>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</si>
  <si>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</si>
  <si>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</si>
  <si>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</si>
  <si>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</si>
  <si>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</si>
  <si>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</si>
  <si>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</si>
  <si>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</si>
  <si>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</si>
  <si>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</si>
  <si>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</si>
  <si>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</si>
  <si>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</si>
  <si>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</si>
  <si>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</si>
  <si>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</si>
  <si>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</si>
  <si>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</si>
  <si>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</si>
  <si>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</si>
  <si>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</si>
  <si>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</si>
  <si>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</si>
  <si>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</si>
  <si>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</si>
  <si>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</si>
  <si>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</si>
  <si>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</si>
  <si>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</si>
  <si>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</si>
  <si>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</si>
  <si>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</si>
  <si>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</si>
  <si>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</si>
  <si>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</si>
  <si>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</si>
  <si>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</si>
  <si>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</si>
  <si>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</si>
  <si>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</si>
  <si>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</si>
  <si>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</si>
  <si>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</si>
  <si>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</si>
  <si>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</si>
  <si>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</si>
  <si>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</si>
  <si>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</si>
  <si>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</si>
  <si>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</si>
  <si>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</si>
  <si>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</si>
  <si>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</si>
  <si>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</si>
  <si>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</si>
  <si>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</si>
  <si>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</si>
  <si>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</si>
  <si>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</si>
  <si>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</si>
  <si>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</si>
  <si>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</si>
  <si>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</si>
  <si>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</si>
  <si>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</si>
  <si>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</si>
  <si>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</si>
  <si>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</si>
  <si>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</si>
  <si>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</si>
  <si>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</si>
  <si>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</si>
  <si>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</si>
  <si>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</si>
  <si>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</si>
  <si>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</si>
  <si>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</si>
  <si>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</si>
  <si>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</si>
  <si>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</si>
  <si>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</si>
  <si>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</si>
  <si>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</si>
  <si>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</si>
  <si>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</si>
  <si>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</si>
  <si>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</si>
  <si>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</si>
  <si>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</si>
  <si>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</si>
  <si>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</si>
  <si>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</si>
  <si>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</si>
  <si>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</si>
  <si>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</si>
  <si>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</si>
  <si>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</si>
  <si>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</si>
  <si>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</si>
  <si>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</si>
  <si>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</si>
  <si>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</si>
  <si>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</si>
  <si>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</si>
  <si>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</si>
  <si>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</si>
  <si>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</si>
  <si>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</si>
  <si>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</si>
  <si>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</si>
  <si>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</si>
  <si>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</si>
  <si>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</si>
  <si>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</si>
  <si>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</si>
  <si>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</si>
  <si>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</si>
  <si>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</si>
  <si>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</si>
  <si>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</si>
  <si>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</si>
  <si>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</si>
  <si>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</si>
  <si>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</si>
  <si>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</si>
  <si>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</si>
  <si>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</si>
  <si>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</si>
  <si>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</si>
  <si>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</si>
  <si>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</si>
  <si>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</si>
  <si>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</si>
  <si>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</si>
  <si>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</si>
  <si>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</si>
  <si>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</si>
  <si>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</si>
  <si>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</si>
  <si>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</si>
  <si>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</si>
  <si>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</si>
  <si>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</si>
  <si>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</si>
  <si>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</si>
  <si>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</si>
  <si>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</si>
  <si>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</si>
  <si>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</si>
  <si>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</si>
  <si>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</si>
  <si>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</si>
  <si>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</si>
  <si>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</si>
  <si>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</si>
  <si>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</si>
  <si>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</si>
  <si>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</si>
  <si>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</si>
  <si>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</si>
  <si>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</si>
  <si>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</si>
  <si>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</si>
  <si>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</si>
  <si>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</si>
  <si>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</si>
  <si>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</si>
  <si>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</si>
  <si>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</si>
  <si>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</si>
  <si>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</si>
  <si>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</si>
  <si>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</si>
  <si>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</si>
  <si>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</si>
  <si>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</si>
  <si>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</si>
  <si>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</si>
  <si>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</si>
  <si>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</si>
  <si>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</si>
  <si>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</si>
  <si>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</si>
  <si>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</si>
  <si>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</si>
  <si>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</si>
  <si>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</si>
  <si>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</si>
  <si>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</si>
  <si>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</si>
  <si>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</si>
  <si>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</si>
  <si>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</si>
  <si>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</si>
  <si>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</si>
  <si>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</si>
  <si>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</si>
  <si>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</si>
  <si>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</si>
  <si>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</si>
  <si>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</si>
  <si>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</si>
  <si>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</si>
  <si>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</si>
  <si>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</si>
  <si>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</si>
  <si>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</si>
  <si>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</si>
  <si>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</si>
  <si>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</si>
  <si>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</si>
  <si>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</si>
  <si>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</si>
  <si>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</si>
  <si>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</si>
  <si>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</si>
  <si>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</si>
  <si>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</si>
  <si>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</si>
  <si>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</si>
  <si>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</si>
  <si>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</si>
  <si>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</si>
  <si>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</si>
  <si>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</si>
  <si>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</si>
  <si>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</si>
  <si>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</si>
  <si>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</si>
  <si>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</si>
  <si>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</si>
  <si>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</si>
  <si>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</si>
  <si>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</si>
  <si>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</si>
  <si>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</si>
  <si>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</si>
  <si>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</si>
  <si>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</si>
  <si>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</si>
  <si>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</si>
  <si>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</si>
  <si>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</si>
  <si>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</si>
  <si>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</si>
  <si>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</si>
  <si>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</si>
  <si>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</si>
  <si>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</si>
  <si>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</si>
  <si>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</si>
  <si>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</si>
  <si>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</si>
  <si>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</si>
  <si>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</si>
  <si>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</si>
  <si>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</si>
  <si>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</si>
  <si>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</si>
  <si>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</si>
  <si>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</si>
  <si>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</si>
  <si>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</si>
  <si>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</si>
  <si>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</si>
  <si>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</si>
  <si>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</si>
  <si>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</si>
  <si>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</si>
  <si>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</si>
  <si>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</si>
  <si>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</si>
  <si>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</si>
  <si>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</si>
  <si>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</si>
  <si>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</si>
  <si>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</si>
  <si>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</si>
  <si>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</si>
  <si>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</si>
  <si>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</si>
  <si>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</si>
  <si>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</si>
  <si>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</si>
  <si>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</si>
  <si>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</si>
  <si>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</si>
  <si>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</si>
  <si>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</si>
  <si>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</si>
  <si>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</si>
  <si>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</si>
  <si>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</si>
  <si>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</si>
  <si>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</si>
  <si>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</si>
  <si>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</si>
  <si>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</si>
  <si>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</si>
  <si>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</si>
  <si>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</si>
  <si>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</si>
  <si>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</si>
  <si>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</si>
  <si>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</si>
  <si>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</si>
  <si>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</si>
  <si>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</si>
  <si>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</si>
  <si>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</si>
  <si>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</si>
  <si>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</si>
  <si>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</si>
  <si>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</si>
  <si>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</si>
  <si>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</si>
  <si>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</si>
  <si>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</si>
  <si>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</si>
  <si>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</si>
  <si>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</si>
  <si>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</si>
  <si>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</si>
  <si>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</si>
  <si>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</si>
  <si>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</si>
  <si>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</si>
  <si>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</si>
  <si>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</si>
  <si>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</si>
  <si>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</si>
  <si>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</si>
  <si>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</si>
  <si>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</si>
  <si>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</si>
  <si>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</si>
  <si>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</si>
  <si>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</si>
  <si>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</si>
  <si>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</si>
  <si>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</si>
  <si>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</si>
  <si>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</si>
  <si>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</si>
  <si>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</si>
  <si>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</si>
  <si>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</si>
  <si>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</si>
  <si>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</si>
  <si>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</si>
  <si>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</si>
  <si>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</si>
  <si>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</si>
  <si>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</si>
  <si>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</si>
  <si>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</si>
  <si>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</si>
  <si>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</si>
  <si>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</si>
  <si>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</si>
  <si>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</si>
  <si>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</si>
  <si>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</si>
  <si>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</si>
  <si>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</si>
  <si>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</si>
  <si>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</si>
  <si>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</si>
  <si>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</si>
  <si>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</si>
  <si>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</si>
  <si>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</si>
  <si>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</si>
  <si>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</si>
  <si>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</si>
  <si>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</si>
  <si>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</si>
  <si>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</si>
  <si>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</si>
  <si>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</si>
  <si>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</si>
  <si>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</si>
  <si>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</si>
  <si>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</si>
  <si>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</si>
  <si>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</si>
  <si>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</si>
  <si>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</si>
  <si>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</si>
  <si>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</si>
  <si>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</si>
  <si>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</si>
  <si>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</si>
  <si>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</si>
  <si>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</si>
  <si>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</si>
  <si>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</si>
  <si>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</si>
  <si>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</si>
  <si>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</si>
  <si>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</si>
  <si>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</si>
  <si>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</si>
  <si>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</si>
  <si>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</si>
  <si>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</si>
  <si>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</si>
  <si>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</si>
  <si>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</si>
  <si>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</si>
  <si>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</si>
  <si>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</si>
  <si>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</si>
  <si>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</si>
  <si>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</si>
  <si>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</si>
  <si>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</si>
  <si>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</si>
  <si>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</si>
  <si>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</si>
  <si>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</si>
  <si>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</si>
  <si>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</si>
  <si>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</si>
  <si>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</si>
  <si>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</si>
  <si>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</si>
  <si>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</si>
  <si>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</si>
  <si>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</si>
  <si>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</si>
  <si>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</si>
  <si>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</si>
  <si>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</si>
  <si>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</si>
  <si>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</si>
  <si>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</si>
  <si>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</si>
  <si>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</si>
  <si>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</si>
  <si>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</si>
  <si>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</si>
  <si>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</si>
  <si>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</si>
  <si>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</si>
  <si>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</si>
  <si>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</si>
  <si>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</si>
  <si>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</si>
  <si>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</si>
  <si>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</si>
  <si>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</si>
  <si>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</si>
  <si>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</si>
  <si>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</si>
  <si>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</si>
  <si>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</si>
  <si>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</si>
  <si>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</si>
  <si>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</si>
  <si>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</si>
  <si>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</si>
  <si>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</si>
  <si>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</si>
  <si>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</si>
  <si>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</si>
  <si>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</si>
  <si>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</si>
  <si>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</si>
  <si>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</si>
  <si>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</si>
  <si>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</si>
  <si>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</si>
  <si>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</si>
  <si>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</si>
  <si>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</si>
  <si>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</si>
  <si>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</si>
  <si>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</si>
  <si>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</si>
  <si>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</si>
  <si>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</si>
  <si>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</si>
  <si>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</si>
  <si>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</si>
  <si>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</si>
  <si>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</si>
  <si>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</si>
  <si>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</si>
  <si>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</si>
  <si>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</si>
  <si>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</si>
  <si>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</si>
  <si>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</si>
  <si>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</si>
  <si>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</si>
  <si>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</si>
  <si>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</si>
  <si>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</si>
  <si>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</si>
  <si>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</si>
  <si>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</si>
  <si>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</si>
  <si>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</si>
  <si>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</si>
  <si>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</si>
  <si>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</si>
  <si>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</si>
  <si>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</si>
  <si>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</si>
  <si>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</si>
  <si>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</si>
  <si>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</si>
  <si>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</si>
  <si>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</si>
  <si>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</si>
  <si>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</si>
  <si>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</si>
  <si>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</si>
  <si>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</si>
  <si>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</si>
  <si>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</si>
  <si>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</si>
  <si>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</si>
  <si>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</si>
  <si>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</si>
  <si>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</si>
  <si>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</si>
  <si>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</si>
  <si>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</si>
  <si>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</si>
  <si>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</si>
  <si>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</si>
  <si>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</si>
  <si>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</si>
  <si>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</si>
  <si>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</si>
  <si>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</si>
  <si>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</si>
  <si>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</si>
  <si>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</si>
  <si>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</si>
  <si>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</si>
  <si>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</si>
  <si>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</si>
  <si>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</si>
  <si>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</si>
  <si>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</si>
  <si>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</si>
  <si>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</si>
  <si>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</si>
  <si>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</si>
  <si>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</si>
  <si>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</si>
  <si>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</si>
  <si>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</si>
  <si>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</si>
  <si>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</si>
  <si>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</si>
  <si>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</si>
  <si>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</si>
  <si>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</si>
  <si>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</si>
  <si>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</si>
  <si>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</si>
  <si>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</si>
  <si>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</si>
  <si>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</si>
  <si>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</si>
  <si>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</si>
  <si>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</si>
  <si>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</si>
  <si>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</si>
  <si>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</si>
  <si>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</si>
  <si>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</si>
  <si>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</si>
  <si>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</si>
  <si>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</si>
  <si>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</si>
  <si>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</si>
  <si>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</si>
  <si>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</si>
  <si>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</si>
  <si>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</si>
  <si>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</si>
  <si>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</si>
  <si>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</si>
  <si>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</si>
  <si>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</si>
  <si>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</si>
  <si>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</si>
  <si>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</si>
  <si>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</si>
  <si>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</si>
  <si>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</si>
  <si>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</si>
  <si>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</si>
  <si>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</si>
  <si>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</si>
  <si>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</si>
  <si>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</si>
  <si>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</si>
  <si>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</si>
  <si>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</si>
  <si>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</si>
  <si>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</si>
  <si>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</si>
  <si>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</si>
  <si>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</si>
  <si>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</si>
  <si>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</si>
  <si>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</si>
  <si>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</si>
  <si>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</si>
  <si>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</si>
  <si>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</si>
  <si>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</si>
  <si>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</si>
  <si>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</si>
  <si>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</si>
  <si>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</si>
  <si>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</si>
  <si>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</si>
  <si>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</si>
  <si>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</si>
  <si>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</si>
  <si>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</si>
  <si>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</si>
  <si>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</si>
  <si>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</si>
  <si>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</si>
  <si>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</si>
  <si>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</si>
  <si>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</si>
  <si>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</si>
  <si>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</si>
  <si>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</si>
  <si>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</si>
  <si>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</si>
  <si>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</si>
  <si>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</si>
  <si>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</si>
  <si>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</si>
  <si>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</si>
  <si>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</si>
  <si>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</si>
  <si>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</si>
  <si>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</si>
  <si>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</si>
  <si>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</si>
  <si>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</si>
  <si>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</si>
  <si>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</si>
  <si>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</si>
  <si>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</si>
  <si>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</si>
  <si>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</si>
  <si>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</si>
  <si>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</si>
  <si>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</si>
  <si>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</si>
  <si>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</si>
  <si>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</si>
  <si>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</si>
  <si>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</si>
  <si>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</si>
  <si>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</si>
  <si>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</si>
  <si>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</si>
  <si>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</si>
  <si>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</si>
  <si>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</si>
  <si>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</si>
  <si>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</si>
  <si>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</si>
  <si>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</si>
  <si>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</si>
  <si>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</si>
  <si>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</si>
  <si>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</si>
  <si>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</si>
  <si>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</si>
  <si>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</si>
  <si>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</si>
  <si>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</si>
  <si>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</si>
  <si>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</si>
  <si>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</si>
  <si>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</si>
  <si>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</si>
  <si>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</si>
  <si>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</si>
  <si>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</si>
  <si>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</si>
  <si>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</si>
  <si>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</si>
  <si>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</si>
  <si>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</si>
  <si>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</si>
  <si>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</si>
  <si>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</si>
  <si>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</si>
  <si>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</si>
  <si>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</si>
  <si>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</si>
  <si>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</si>
  <si>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</si>
  <si>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</si>
  <si>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</si>
  <si>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</si>
  <si>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</si>
  <si>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11/91 - 12/10</t>
  </si>
  <si>
    <t>04/40</t>
  </si>
  <si>
    <t>See attached page for details</t>
  </si>
  <si>
    <t>Concord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</si>
</sst>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111</v>
      </c>
      <c r="C2" s="21">
        <v>111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587406.68000000005</v>
      </c>
      <c r="G9" s="18">
        <v>222562.4</v>
      </c>
      <c r="H9" s="18">
        <v>-200340.99</v>
      </c>
      <c r="I9" s="18">
        <v>191166.04</v>
      </c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>
        <v>0</v>
      </c>
      <c r="I10" s="18">
        <v>8370990.1500000004</v>
      </c>
      <c r="J10" s="67">
        <f>SUM(I440)</f>
        <v>5812228.3499999996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107484555.16</v>
      </c>
      <c r="G12" s="18">
        <v>6881824.0099999998</v>
      </c>
      <c r="H12" s="18">
        <v>36215768.409999996</v>
      </c>
      <c r="I12" s="18">
        <v>64908514.369999997</v>
      </c>
      <c r="J12" s="67">
        <f>SUM(I441)</f>
        <v>-1703884.8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925409.94</v>
      </c>
      <c r="G14" s="18">
        <v>72711.19</v>
      </c>
      <c r="H14" s="18">
        <v>1040190.99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4785</v>
      </c>
      <c r="G16" s="18">
        <v>57567.13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f>10000</f>
        <v>10000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101300</v>
      </c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109113456.78</v>
      </c>
      <c r="G19" s="41">
        <f>SUM(G9:G18)</f>
        <v>7234664.7300000004</v>
      </c>
      <c r="H19" s="41">
        <f>SUM(H9:H18)</f>
        <v>37055618.409999996</v>
      </c>
      <c r="I19" s="41">
        <f>SUM(I9:I18)</f>
        <v>73470670.560000002</v>
      </c>
      <c r="J19" s="41">
        <f>SUM(J9:J18)</f>
        <v>4108343.55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106588706.15000001</v>
      </c>
      <c r="G22" s="18">
        <v>7181909.0800000001</v>
      </c>
      <c r="H22" s="18">
        <v>36671934.200000003</v>
      </c>
      <c r="I22" s="18">
        <v>65147353.909999996</v>
      </c>
      <c r="J22" s="67">
        <f>SUM(I448)</f>
        <v>-1805077.1600000001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0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80632.13</v>
      </c>
      <c r="G28" s="18">
        <v>0</v>
      </c>
      <c r="H28" s="18">
        <v>460.56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230445.81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16346</v>
      </c>
      <c r="G30" s="18">
        <v>31531.13</v>
      </c>
      <c r="H30" s="18">
        <v>0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0</v>
      </c>
      <c r="G31" s="18">
        <v>0</v>
      </c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106916130.09</v>
      </c>
      <c r="G32" s="41">
        <f>SUM(G22:G31)</f>
        <v>7213440.21</v>
      </c>
      <c r="H32" s="41">
        <f>SUM(H22:H31)</f>
        <v>36672394.760000005</v>
      </c>
      <c r="I32" s="41">
        <f>SUM(I22:I31)</f>
        <v>65147353.909999996</v>
      </c>
      <c r="J32" s="41">
        <f>SUM(J22:J31)</f>
        <v>-1805077.1600000001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770981.2</v>
      </c>
      <c r="G45" s="18">
        <v>4926.51</v>
      </c>
      <c r="H45" s="18">
        <v>320058.31</v>
      </c>
      <c r="I45" s="18">
        <v>4225543.8</v>
      </c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f>4785.14+10000</f>
        <v>14785.14</v>
      </c>
      <c r="G48" s="18">
        <v>16298.01</v>
      </c>
      <c r="H48" s="18">
        <f>290494.56-18978765.07+20120868.17-1369432.32</f>
        <v>63165.340000000084</v>
      </c>
      <c r="I48" s="18">
        <f>11037154.16+192145383.74-198915611.78-169153.27</f>
        <v>4097772.8500000047</v>
      </c>
      <c r="J48" s="13">
        <f>SUM(I459)</f>
        <v>5913420.7100000009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1411560.35</f>
        <v>1411560.35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2197326.69</v>
      </c>
      <c r="G51" s="41">
        <f>SUM(G35:G50)</f>
        <v>21224.52</v>
      </c>
      <c r="H51" s="41">
        <f>SUM(H35:H50)</f>
        <v>383223.65000000008</v>
      </c>
      <c r="I51" s="41">
        <f>SUM(I35:I50)</f>
        <v>8323316.6500000041</v>
      </c>
      <c r="J51" s="41">
        <f>SUM(J35:J50)</f>
        <v>5913420.7100000009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109113456.78</v>
      </c>
      <c r="G52" s="41">
        <f>G51+G32</f>
        <v>7234664.7299999995</v>
      </c>
      <c r="H52" s="41">
        <f>H51+H32</f>
        <v>37055618.410000004</v>
      </c>
      <c r="I52" s="41">
        <f>I51+I32</f>
        <v>73470670.560000002</v>
      </c>
      <c r="J52" s="41">
        <f>J51+J32</f>
        <v>4108343.5500000007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45232531</f>
        <v>45232531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86293.119999999995</v>
      </c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45318824.119999997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f>154895.52+87875</f>
        <v>242770.52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f>10115</f>
        <v>10115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f>74577.8</f>
        <v>74577.8</v>
      </c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f>1824426.3</f>
        <v>1824426.3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f>362509.59+10243.79</f>
        <v>372753.38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f>694782.26</f>
        <v>694782.26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3219425.26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f>8435</f>
        <v>8435</v>
      </c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30628.07</v>
      </c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>
        <v>174310.03</v>
      </c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213373.1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f>20747.39</f>
        <v>20747.39</v>
      </c>
      <c r="G96" s="18">
        <f>15.67</f>
        <v>15.67</v>
      </c>
      <c r="H96" s="18">
        <f>357.39</f>
        <v>357.39</v>
      </c>
      <c r="I96" s="18">
        <v>283.3</v>
      </c>
      <c r="J96" s="18">
        <f>12093.44+1097.13</f>
        <v>13190.57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301094.7+17265.65+21040.5+218083.5+27897.22</f>
        <v>585381.57000000007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f>16781+101886.5+68.85</f>
        <v>118736.35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f>182190.78</f>
        <v>182190.78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f>288715.52</f>
        <v>288715.52000000002</v>
      </c>
      <c r="I102" s="18"/>
      <c r="J102" s="18">
        <f>5225+12530</f>
        <v>17755</v>
      </c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f>6427</f>
        <v>6427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97698.33</f>
        <v>97698.33</v>
      </c>
      <c r="G110" s="18">
        <f>9934.92</f>
        <v>9934.92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425799.85000000003</v>
      </c>
      <c r="G111" s="41">
        <f>SUM(G96:G110)</f>
        <v>595332.16000000015</v>
      </c>
      <c r="H111" s="41">
        <f>SUM(H96:H110)</f>
        <v>289072.91000000003</v>
      </c>
      <c r="I111" s="41">
        <f>SUM(I96:I110)</f>
        <v>283.3</v>
      </c>
      <c r="J111" s="41">
        <f>SUM(J96:J110)</f>
        <v>30945.57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49177422.329999998</v>
      </c>
      <c r="G112" s="41">
        <f>G60+G111</f>
        <v>595332.16000000015</v>
      </c>
      <c r="H112" s="41">
        <f>H60+H79+H94+H111</f>
        <v>289072.91000000003</v>
      </c>
      <c r="I112" s="41">
        <f>I60+I111</f>
        <v>283.3</v>
      </c>
      <c r="J112" s="41">
        <f>J60+J111</f>
        <v>30945.57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13122600.73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8217040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25998.22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21365638.949999999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1097173.93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376697.55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f>1065274.2+94142.28</f>
        <v>1159416.48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>
        <f>73504.56</f>
        <v>73504.56</v>
      </c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21868.3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>
        <f>123765.97+81891.42</f>
        <v>205657.39</v>
      </c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2633287.96</v>
      </c>
      <c r="G136" s="41">
        <f>SUM(G123:G135)</f>
        <v>21868.3</v>
      </c>
      <c r="H136" s="41">
        <f>SUM(H123:H135)</f>
        <v>279161.95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23998926.91</v>
      </c>
      <c r="G140" s="41">
        <f>G121+SUM(G136:G137)</f>
        <v>21868.3</v>
      </c>
      <c r="H140" s="41">
        <f>H121+SUM(H136:H139)</f>
        <v>279161.95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>
        <v>839832.2</v>
      </c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839832.2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1338976.59</f>
        <v>1338976.5900000001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1080899.16</f>
        <v>1080899.1599999999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f>347307.62</f>
        <v>347307.62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981160.29+78124.03</f>
        <v>1059284.32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1180411.58</f>
        <v>1180411.58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1030171.56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416435.72</v>
      </c>
      <c r="G161" s="18"/>
      <c r="H161" s="18">
        <f>528587.38</f>
        <v>528587.38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1446607.28</v>
      </c>
      <c r="G162" s="41">
        <f>SUM(G150:G161)</f>
        <v>1059284.32</v>
      </c>
      <c r="H162" s="41">
        <f>SUM(H150:H161)</f>
        <v>4476182.33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2286439.48</v>
      </c>
      <c r="G169" s="41">
        <f>G147+G162+SUM(G163:G168)</f>
        <v>1059284.32</v>
      </c>
      <c r="H169" s="41">
        <f>H147+H162+SUM(H163:H168)</f>
        <v>4476182.33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>
        <f>11360000</f>
        <v>11360000</v>
      </c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>
        <f>726812.25</f>
        <v>726812.25</v>
      </c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12086812.25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90000</v>
      </c>
      <c r="H179" s="18"/>
      <c r="I179" s="18"/>
      <c r="J179" s="18">
        <v>1111161.04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66471.66</v>
      </c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66471.66</v>
      </c>
      <c r="G183" s="41">
        <f>SUM(G179:G182)</f>
        <v>90000</v>
      </c>
      <c r="H183" s="41">
        <f>SUM(H179:H182)</f>
        <v>0</v>
      </c>
      <c r="I183" s="41">
        <f>SUM(I179:I182)</f>
        <v>0</v>
      </c>
      <c r="J183" s="41">
        <f>SUM(J179:J182)</f>
        <v>1111161.04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62914.02</v>
      </c>
      <c r="G186" s="18"/>
      <c r="H186" s="18"/>
      <c r="I186" s="18">
        <f>123424.95</f>
        <v>123424.95</v>
      </c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62914.02</v>
      </c>
      <c r="G188" s="41">
        <f>SUM(G185:G187)</f>
        <v>0</v>
      </c>
      <c r="H188" s="41">
        <f>SUM(H185:H187)</f>
        <v>0</v>
      </c>
      <c r="I188" s="41">
        <f>SUM(I185:I187)</f>
        <v>123424.95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129385.68</v>
      </c>
      <c r="G192" s="41">
        <f>G183+SUM(G188:G191)</f>
        <v>90000</v>
      </c>
      <c r="H192" s="41">
        <f>+H183+SUM(H188:H191)</f>
        <v>0</v>
      </c>
      <c r="I192" s="41">
        <f>I177+I183+SUM(I188:I191)</f>
        <v>12210237.199999999</v>
      </c>
      <c r="J192" s="41">
        <f>J183</f>
        <v>1111161.04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75592174.400000006</v>
      </c>
      <c r="G193" s="47">
        <f>G112+G140+G169+G192</f>
        <v>1766484.7800000003</v>
      </c>
      <c r="H193" s="47">
        <f>H112+H140+H169+H192</f>
        <v>5044417.1900000004</v>
      </c>
      <c r="I193" s="47">
        <f>I112+I140+I169+I192</f>
        <v>12210520.5</v>
      </c>
      <c r="J193" s="47">
        <f>J112+J140+J192</f>
        <v>1142106.6100000001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7744269.29+9035.14+139681.19</f>
        <v>7892985.6200000001</v>
      </c>
      <c r="G197" s="18">
        <f>3545291.99+893.41+204774.35</f>
        <v>3750959.7500000005</v>
      </c>
      <c r="H197" s="18">
        <f>97755.5+976.63</f>
        <v>98732.13</v>
      </c>
      <c r="I197" s="18">
        <f>274104.37+4343</f>
        <v>278447.37</v>
      </c>
      <c r="J197" s="18">
        <v>34277.08</v>
      </c>
      <c r="K197" s="18">
        <v>202.48</v>
      </c>
      <c r="L197" s="19">
        <f>SUM(F197:K197)</f>
        <v>12055604.430000002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2352081.64+1104718.65+258754.37+3463.59</f>
        <v>3719018.25</v>
      </c>
      <c r="G198" s="18">
        <f>808381.73+383725.86+93871.3+298.81+98336.91</f>
        <v>1384614.6099999999</v>
      </c>
      <c r="H198" s="18">
        <f>270001.65+588382.63+20485.48+41929.11</f>
        <v>920798.87</v>
      </c>
      <c r="I198" s="18">
        <f>7550.34+6434.04+955.1+7423.3</f>
        <v>22362.780000000002</v>
      </c>
      <c r="J198" s="18">
        <f>0+153.26</f>
        <v>153.26</v>
      </c>
      <c r="K198" s="18">
        <f>0</f>
        <v>0</v>
      </c>
      <c r="L198" s="19">
        <f>SUM(F198:K198)</f>
        <v>6046947.7699999996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11820+61466.06</f>
        <v>73286.06</v>
      </c>
      <c r="G200" s="18">
        <f>2547.17+29331.08+282.58</f>
        <v>32160.83</v>
      </c>
      <c r="H200" s="18"/>
      <c r="I200" s="18"/>
      <c r="J200" s="18"/>
      <c r="K200" s="18"/>
      <c r="L200" s="19">
        <f>SUM(F200:K200)</f>
        <v>105446.89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385639.33+347999.83+142825.17+631492.24+247406.84+66109.2</f>
        <v>1821472.61</v>
      </c>
      <c r="G202" s="18">
        <f>179936.32+170605.19+73020.77+262237.42+102966.74+13943.35+46436.87</f>
        <v>849146.65999999992</v>
      </c>
      <c r="H202" s="18">
        <f>10183.75+123427.5+37872.69</f>
        <v>171483.94</v>
      </c>
      <c r="I202" s="18">
        <f>1306.43+6979.46+2630.5+5597.83</f>
        <v>16514.22</v>
      </c>
      <c r="J202" s="18">
        <f>8229.32+4231.48</f>
        <v>12460.8</v>
      </c>
      <c r="K202" s="18">
        <f>0+196.34</f>
        <v>196.34</v>
      </c>
      <c r="L202" s="19">
        <f t="shared" ref="L202:L208" si="0">SUM(F202:K202)</f>
        <v>2871274.57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369505.76+112992+251522.03</f>
        <v>734019.79</v>
      </c>
      <c r="G203" s="18">
        <f>164641.42+31805.55+167684.53+12810.17</f>
        <v>376941.67</v>
      </c>
      <c r="H203" s="18">
        <f>2829.83+383910.14</f>
        <v>386739.97000000003</v>
      </c>
      <c r="I203" s="18">
        <f>16883.17+809.61+7689.75+118576.75</f>
        <v>143959.28</v>
      </c>
      <c r="J203" s="18">
        <f>320.47+16670+1821.55</f>
        <v>18812.02</v>
      </c>
      <c r="K203" s="18">
        <f>0+419.1</f>
        <v>419.1</v>
      </c>
      <c r="L203" s="19">
        <f t="shared" si="0"/>
        <v>1660891.83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217822.84</f>
        <v>217822.84</v>
      </c>
      <c r="G204" s="18">
        <f>87643.66</f>
        <v>87643.66</v>
      </c>
      <c r="H204" s="18">
        <f>117132.22</f>
        <v>117132.22</v>
      </c>
      <c r="I204" s="18">
        <f>12249.44</f>
        <v>12249.44</v>
      </c>
      <c r="J204" s="18">
        <f>129.89</f>
        <v>129.88999999999999</v>
      </c>
      <c r="K204" s="18">
        <v>3985.3</v>
      </c>
      <c r="L204" s="19">
        <f t="shared" si="0"/>
        <v>438963.35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754258.4</f>
        <v>754258.4</v>
      </c>
      <c r="G205" s="18">
        <f>388202.87+19968.8</f>
        <v>408171.67</v>
      </c>
      <c r="H205" s="18">
        <f>10704.6</f>
        <v>10704.6</v>
      </c>
      <c r="I205" s="18">
        <f>2227.94</f>
        <v>2227.94</v>
      </c>
      <c r="J205" s="18">
        <f>0</f>
        <v>0</v>
      </c>
      <c r="K205" s="18">
        <f>6289</f>
        <v>6289</v>
      </c>
      <c r="L205" s="19">
        <f t="shared" si="0"/>
        <v>1181651.6100000001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f>217520.75</f>
        <v>217520.75</v>
      </c>
      <c r="G206" s="18">
        <f>97624</f>
        <v>97624</v>
      </c>
      <c r="H206" s="18">
        <f>6362</f>
        <v>6362</v>
      </c>
      <c r="I206" s="18">
        <f>963.02</f>
        <v>963.02</v>
      </c>
      <c r="J206" s="18">
        <v>0</v>
      </c>
      <c r="K206" s="18">
        <f>1351.82</f>
        <v>1351.82</v>
      </c>
      <c r="L206" s="19">
        <f t="shared" si="0"/>
        <v>323821.59000000003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552902.14+196758.56</f>
        <v>749660.7</v>
      </c>
      <c r="G207" s="18">
        <f>261962.22+93295.46+14599.83</f>
        <v>369857.51</v>
      </c>
      <c r="H207" s="18">
        <f>2580.01+374995.69+207332.07</f>
        <v>584907.77</v>
      </c>
      <c r="I207" s="18">
        <f>51685.56+634828.5+32759.79</f>
        <v>719273.85000000009</v>
      </c>
      <c r="J207" s="18">
        <f>20029.32+8387.25</f>
        <v>28416.57</v>
      </c>
      <c r="K207" s="18">
        <f>0+235.74</f>
        <v>235.74</v>
      </c>
      <c r="L207" s="19">
        <f t="shared" si="0"/>
        <v>2452352.14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f>663633.6</f>
        <v>663633.6</v>
      </c>
      <c r="G208" s="18">
        <f>228161.5</f>
        <v>228161.5</v>
      </c>
      <c r="H208" s="18">
        <f>1245.47+20084.94+266772.39</f>
        <v>288102.8</v>
      </c>
      <c r="I208" s="18">
        <f>125920.55</f>
        <v>125920.55</v>
      </c>
      <c r="J208" s="18">
        <f>12691.5</f>
        <v>12691.5</v>
      </c>
      <c r="K208" s="18">
        <f>1012.39</f>
        <v>1012.39</v>
      </c>
      <c r="L208" s="19">
        <f t="shared" si="0"/>
        <v>1319522.3399999999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f>142757.5</f>
        <v>142757.5</v>
      </c>
      <c r="G209" s="18">
        <f>71209.77</f>
        <v>71209.77</v>
      </c>
      <c r="H209" s="18">
        <f>36809.14</f>
        <v>36809.14</v>
      </c>
      <c r="I209" s="18">
        <f>14075.03</f>
        <v>14075.03</v>
      </c>
      <c r="J209" s="18"/>
      <c r="K209" s="18"/>
      <c r="L209" s="19">
        <f>SUM(F209:K209)</f>
        <v>264851.44000000006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16986436.120000001</v>
      </c>
      <c r="G211" s="41">
        <f t="shared" si="1"/>
        <v>7656491.6299999999</v>
      </c>
      <c r="H211" s="41">
        <f t="shared" si="1"/>
        <v>2621773.44</v>
      </c>
      <c r="I211" s="41">
        <f t="shared" si="1"/>
        <v>1335993.4800000002</v>
      </c>
      <c r="J211" s="41">
        <f t="shared" si="1"/>
        <v>106941.12</v>
      </c>
      <c r="K211" s="41">
        <f t="shared" si="1"/>
        <v>13692.17</v>
      </c>
      <c r="L211" s="41">
        <f t="shared" si="1"/>
        <v>28721327.960000005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4430737.25+4408.35+69658.42</f>
        <v>4504804.0199999996</v>
      </c>
      <c r="G215" s="18">
        <f>1975277.44+435.9+117269.59</f>
        <v>2092982.93</v>
      </c>
      <c r="H215" s="18">
        <f>38208.28+476.51</f>
        <v>38684.79</v>
      </c>
      <c r="I215" s="18">
        <f>77212.07+2119</f>
        <v>79331.070000000007</v>
      </c>
      <c r="J215" s="18">
        <f>26674.9</f>
        <v>26674.9</v>
      </c>
      <c r="K215" s="18">
        <f>0</f>
        <v>0</v>
      </c>
      <c r="L215" s="19">
        <f>SUM(F215:K215)</f>
        <v>6742477.71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491367.54+584050.59+133657.25+1856.83</f>
        <v>1210932.21</v>
      </c>
      <c r="G216" s="18">
        <f>171398.12+239414.44+43803.86+160.19+32025.43</f>
        <v>486802.04</v>
      </c>
      <c r="H216" s="18">
        <f>811218.3+81728.04+2557.91+22478.15</f>
        <v>917982.40000000014</v>
      </c>
      <c r="I216" s="18">
        <f>4373.36+3979.63</f>
        <v>8352.99</v>
      </c>
      <c r="J216" s="18">
        <f>0+82.17</f>
        <v>82.17</v>
      </c>
      <c r="K216" s="18"/>
      <c r="L216" s="19">
        <f>SUM(F216:K216)</f>
        <v>2624151.8100000005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f>14472+64359+29990</f>
        <v>108821</v>
      </c>
      <c r="G218" s="18">
        <f>2535.36+10638.57+14310.97+2072.23</f>
        <v>29557.13</v>
      </c>
      <c r="H218" s="18">
        <f>22930.3</f>
        <v>22930.3</v>
      </c>
      <c r="I218" s="18">
        <f>3585.53</f>
        <v>3585.53</v>
      </c>
      <c r="J218" s="18">
        <f>712</f>
        <v>712</v>
      </c>
      <c r="K218" s="18">
        <f>3504</f>
        <v>3504</v>
      </c>
      <c r="L218" s="19">
        <f>SUM(F218:K218)</f>
        <v>169109.96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295622.32+92803.11+79083+77607.76+30329.2+60204.36+35441.08</f>
        <v>671090.82999999984</v>
      </c>
      <c r="G220" s="18">
        <f>130684.78+41664.38+39965.61+32047.37+2319.98+11862.74+7475.02+16860.45</f>
        <v>282880.33</v>
      </c>
      <c r="H220" s="18">
        <f>460.5+9372.34+20197.25</f>
        <v>30030.09</v>
      </c>
      <c r="I220" s="18">
        <f>637.87+2000.55+871.7+3000.99</f>
        <v>6511.11</v>
      </c>
      <c r="J220" s="18">
        <f>0+2268.49</f>
        <v>2268.4899999999998</v>
      </c>
      <c r="K220" s="18">
        <f>0+105.26</f>
        <v>105.26</v>
      </c>
      <c r="L220" s="19">
        <f t="shared" ref="L220:L226" si="2">SUM(F220:K220)</f>
        <v>992886.10999999987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18344.25+206312.18+20920.85+114105.9</f>
        <v>359683.18</v>
      </c>
      <c r="G221" s="18">
        <f>4263.19+87772.87+10125.58+73019.73+6499.28</f>
        <v>181680.65</v>
      </c>
      <c r="H221" s="18">
        <f>1083.21+186211.07</f>
        <v>187294.28</v>
      </c>
      <c r="I221" s="18">
        <f>15275.32+992.93+4231.92+56494.79</f>
        <v>76994.959999999992</v>
      </c>
      <c r="J221" s="18">
        <f>0+888.76</f>
        <v>888.76</v>
      </c>
      <c r="K221" s="18">
        <f>0+204.48</f>
        <v>204.48</v>
      </c>
      <c r="L221" s="19">
        <f t="shared" si="2"/>
        <v>806746.30999999994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106278.28</f>
        <v>106278.28</v>
      </c>
      <c r="G222" s="18">
        <f>42762.35</f>
        <v>42762.35</v>
      </c>
      <c r="H222" s="18">
        <f>57150.16</f>
        <v>57150.16</v>
      </c>
      <c r="I222" s="18">
        <f>5976.65</f>
        <v>5976.65</v>
      </c>
      <c r="J222" s="18">
        <f>63.38</f>
        <v>63.38</v>
      </c>
      <c r="K222" s="18">
        <f>1944.48</f>
        <v>1944.48</v>
      </c>
      <c r="L222" s="19">
        <f t="shared" si="2"/>
        <v>214175.30000000002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f>618922.84</f>
        <v>618922.84</v>
      </c>
      <c r="G223" s="18">
        <f>243567.61+16389.48</f>
        <v>259957.09</v>
      </c>
      <c r="H223" s="18">
        <f>16934.09</f>
        <v>16934.09</v>
      </c>
      <c r="I223" s="18">
        <f>10458.18</f>
        <v>10458.18</v>
      </c>
      <c r="J223" s="18">
        <f>0</f>
        <v>0</v>
      </c>
      <c r="K223" s="18">
        <f>3112</f>
        <v>3112</v>
      </c>
      <c r="L223" s="19">
        <f t="shared" si="2"/>
        <v>909384.2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f>85170.34</f>
        <v>85170.34</v>
      </c>
      <c r="G224" s="18">
        <f>38224.72</f>
        <v>38224.720000000001</v>
      </c>
      <c r="H224" s="18">
        <f>2491.04</f>
        <v>2491.04</v>
      </c>
      <c r="I224" s="18">
        <f>377.07</f>
        <v>377.07</v>
      </c>
      <c r="J224" s="18">
        <f>0</f>
        <v>0</v>
      </c>
      <c r="K224" s="18">
        <f>529.3</f>
        <v>529.29999999999995</v>
      </c>
      <c r="L224" s="19">
        <f t="shared" si="2"/>
        <v>126792.47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263681.5+103622.71</f>
        <v>367304.21</v>
      </c>
      <c r="G225" s="18">
        <f>115736.46+49133.97+6970.24</f>
        <v>171840.66999999998</v>
      </c>
      <c r="H225" s="18">
        <f>1136.11+310256.93+109191.25</f>
        <v>420584.29</v>
      </c>
      <c r="I225" s="18">
        <f>19908.17+386051.9+17252.92</f>
        <v>423212.99</v>
      </c>
      <c r="J225" s="18">
        <f>7708.99+4417.14</f>
        <v>12126.130000000001</v>
      </c>
      <c r="K225" s="18">
        <f>0+124.15</f>
        <v>124.15</v>
      </c>
      <c r="L225" s="19">
        <f t="shared" si="2"/>
        <v>1395192.4399999997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f>323794.53</f>
        <v>323794.53000000003</v>
      </c>
      <c r="G226" s="18">
        <f>111322.64</f>
        <v>111322.64</v>
      </c>
      <c r="H226" s="18">
        <f>27372.56+8917.38+130161.36</f>
        <v>166451.29999999999</v>
      </c>
      <c r="I226" s="18">
        <f>61438.1</f>
        <v>61438.1</v>
      </c>
      <c r="J226" s="18">
        <f>6192.33</f>
        <v>6192.33</v>
      </c>
      <c r="K226" s="18">
        <f>493.95</f>
        <v>493.95</v>
      </c>
      <c r="L226" s="19">
        <f t="shared" si="2"/>
        <v>669692.84999999986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f>55896.76</f>
        <v>55896.76</v>
      </c>
      <c r="G227" s="18">
        <f>27882.22</f>
        <v>27882.22</v>
      </c>
      <c r="H227" s="18">
        <f>14412.64</f>
        <v>14412.64</v>
      </c>
      <c r="I227" s="18">
        <f>5511.09</f>
        <v>5511.09</v>
      </c>
      <c r="J227" s="18"/>
      <c r="K227" s="18"/>
      <c r="L227" s="19">
        <f>SUM(F227:K227)</f>
        <v>103702.71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8412698.1999999993</v>
      </c>
      <c r="G229" s="41">
        <f>SUM(G215:G228)</f>
        <v>3725892.77</v>
      </c>
      <c r="H229" s="41">
        <f>SUM(H215:H228)</f>
        <v>1874945.3800000001</v>
      </c>
      <c r="I229" s="41">
        <f>SUM(I215:I228)</f>
        <v>681749.74</v>
      </c>
      <c r="J229" s="41">
        <f>SUM(J215:J228)</f>
        <v>49008.160000000003</v>
      </c>
      <c r="K229" s="41">
        <f t="shared" si="3"/>
        <v>10017.620000000001</v>
      </c>
      <c r="L229" s="41">
        <f t="shared" si="3"/>
        <v>14754311.870000001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5945924.15+7360.43+119774.06+2119.89</f>
        <v>6075178.5299999993</v>
      </c>
      <c r="G233" s="18">
        <f>2743169.52+727.81+157395.57</f>
        <v>2901292.9</v>
      </c>
      <c r="H233" s="18">
        <f>403284.16+795.61</f>
        <v>404079.76999999996</v>
      </c>
      <c r="I233" s="18">
        <f>126319.43+3538</f>
        <v>129857.43</v>
      </c>
      <c r="J233" s="18">
        <f>41244.84</f>
        <v>41244.839999999997</v>
      </c>
      <c r="K233" s="18">
        <f>1000</f>
        <v>1000</v>
      </c>
      <c r="L233" s="19">
        <f>SUM(F233:K233)</f>
        <v>9552653.4699999988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1085149.32+1466592.78+251309.38+2618.14</f>
        <v>2805669.62</v>
      </c>
      <c r="G234" s="18">
        <f>388099.41+686585.29+113594.51+225.87+74223.64</f>
        <v>1262728.72</v>
      </c>
      <c r="H234" s="18">
        <f>1086310.45+5471.82+14883.19+31694.29</f>
        <v>1138359.75</v>
      </c>
      <c r="I234" s="18">
        <f>1362.11+8047.55+5124.86+5611.29</f>
        <v>20145.810000000001</v>
      </c>
      <c r="J234" s="18">
        <f>0+115.85</f>
        <v>115.85</v>
      </c>
      <c r="K234" s="18">
        <f>371.57</f>
        <v>371.57</v>
      </c>
      <c r="L234" s="19">
        <f>SUM(F234:K234)</f>
        <v>5227391.3199999994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f>122960.27+148069.66+52913.33+191838.17+362892.98</f>
        <v>878674.41</v>
      </c>
      <c r="G235" s="18">
        <f>75205.31+74475.05+22931.14+92821.83+135552.39+23265.53</f>
        <v>424251.25</v>
      </c>
      <c r="H235" s="18">
        <f>1180.03+1952.3+2469.37</f>
        <v>5601.7</v>
      </c>
      <c r="I235" s="18">
        <f>20610.62+1168.55+788.59+14871.05+19263.7</f>
        <v>56702.509999999995</v>
      </c>
      <c r="J235" s="18">
        <f>500</f>
        <v>500</v>
      </c>
      <c r="K235" s="18">
        <f>110</f>
        <v>110</v>
      </c>
      <c r="L235" s="19">
        <f>SUM(F235:K235)</f>
        <v>1365839.87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71894+267687+8379+50072.97</f>
        <v>398032.97</v>
      </c>
      <c r="G236" s="18">
        <f>15691.44+40646.47+1259.44+23894.4+9230.86</f>
        <v>90722.61</v>
      </c>
      <c r="H236" s="18">
        <f>134705.5</f>
        <v>134705.5</v>
      </c>
      <c r="I236" s="18">
        <f>41223.46</f>
        <v>41223.46</v>
      </c>
      <c r="J236" s="18">
        <f>13815.57</f>
        <v>13815.57</v>
      </c>
      <c r="K236" s="18">
        <f>25206.23</f>
        <v>25206.23</v>
      </c>
      <c r="L236" s="19">
        <f>SUM(F236:K236)</f>
        <v>703706.33999999985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607498.54+139379.08+119247.75+106804.5+49347.74+62000+49972.07</f>
        <v>1134249.68</v>
      </c>
      <c r="G238" s="18">
        <f>263595.09+83856.63+45354.03+41753.43+17122.9+38746.57+10539.81+28728.69</f>
        <v>529697.15</v>
      </c>
      <c r="H238" s="18">
        <f>380.1+15640.59+28757.6</f>
        <v>44778.29</v>
      </c>
      <c r="I238" s="18">
        <f>1460.18+1114.52+4231.41</f>
        <v>6806.11</v>
      </c>
      <c r="J238" s="18">
        <f>364.5+361+3198.59</f>
        <v>3924.09</v>
      </c>
      <c r="K238" s="18">
        <f>402.5+90+148.41</f>
        <v>640.91</v>
      </c>
      <c r="L238" s="19">
        <f t="shared" ref="L238:L244" si="4">SUM(F238:K238)</f>
        <v>1720096.2300000002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24674+213327.68+18939.11+188382.91</f>
        <v>445323.69999999995</v>
      </c>
      <c r="G239" s="18">
        <f>13426.66+114397.76+2402.92+119738.34+6781.86</f>
        <v>256747.53999999998</v>
      </c>
      <c r="H239" s="18">
        <f>900+2574.82+310635</f>
        <v>314109.82</v>
      </c>
      <c r="I239" s="18">
        <f>29334.64+1075.8+15830.14+93989.79</f>
        <v>140230.37</v>
      </c>
      <c r="J239" s="18">
        <f>446.95+3338.43+17533+1483.91</f>
        <v>22802.29</v>
      </c>
      <c r="K239" s="18">
        <f>0+341.42</f>
        <v>341.42</v>
      </c>
      <c r="L239" s="19">
        <f t="shared" si="4"/>
        <v>1179555.1400000001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177448.12</f>
        <v>177448.12</v>
      </c>
      <c r="G240" s="18">
        <f>71398.4</f>
        <v>71398.399999999994</v>
      </c>
      <c r="H240" s="18">
        <f>95421.09</f>
        <v>95421.09</v>
      </c>
      <c r="I240" s="18">
        <f>9978.94</f>
        <v>9978.94</v>
      </c>
      <c r="J240" s="18">
        <f>105.81</f>
        <v>105.81</v>
      </c>
      <c r="K240" s="18">
        <f>3246.61</f>
        <v>3246.61</v>
      </c>
      <c r="L240" s="19">
        <f t="shared" si="4"/>
        <v>357598.97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1044733.21</f>
        <v>1044733.21</v>
      </c>
      <c r="G241" s="18">
        <f>424025.11+27692.58</f>
        <v>451717.69</v>
      </c>
      <c r="H241" s="18">
        <f>13385.71+13770.18</f>
        <v>27155.89</v>
      </c>
      <c r="I241" s="18">
        <f>4598.42+154.33</f>
        <v>4752.75</v>
      </c>
      <c r="J241" s="18">
        <f>2500</f>
        <v>2500</v>
      </c>
      <c r="K241" s="18">
        <f>13767.46+490</f>
        <v>14257.46</v>
      </c>
      <c r="L241" s="19">
        <f t="shared" si="4"/>
        <v>1545116.9999999998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f>137011.25</f>
        <v>137011.25</v>
      </c>
      <c r="G242" s="18">
        <f>61491.09</f>
        <v>61491.09</v>
      </c>
      <c r="H242" s="18">
        <f>4007.28</f>
        <v>4007.28</v>
      </c>
      <c r="I242" s="18">
        <f>606.59</f>
        <v>606.59</v>
      </c>
      <c r="J242" s="18">
        <f>0</f>
        <v>0</v>
      </c>
      <c r="K242" s="18">
        <f>851.48</f>
        <v>851.48</v>
      </c>
      <c r="L242" s="19">
        <f t="shared" si="4"/>
        <v>203967.69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501421.61+218770.59</f>
        <v>720192.2</v>
      </c>
      <c r="G243" s="18">
        <f>192586.25+103732.74+13281.13</f>
        <v>309600.12</v>
      </c>
      <c r="H243" s="18">
        <f>1258.42+242046.78+230527.01</f>
        <v>473832.21</v>
      </c>
      <c r="I243" s="18">
        <f>31955.08+1302359.36+36424.74</f>
        <v>1370739.1800000002</v>
      </c>
      <c r="J243" s="18">
        <f>22659.24+2000+9325.57</f>
        <v>33984.81</v>
      </c>
      <c r="K243" s="18">
        <f>0+262.11</f>
        <v>262.11</v>
      </c>
      <c r="L243" s="19">
        <f t="shared" si="4"/>
        <v>2908610.63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f>540625.29</f>
        <v>540625.29</v>
      </c>
      <c r="G244" s="18">
        <f>185870.44</f>
        <v>185870.44</v>
      </c>
      <c r="H244" s="18">
        <f>3721.43+119309.44+18728.35+217324.61</f>
        <v>359083.82999999996</v>
      </c>
      <c r="I244" s="18">
        <f>102580.45</f>
        <v>102580.45</v>
      </c>
      <c r="J244" s="18">
        <f>10339.05</f>
        <v>10339.049999999999</v>
      </c>
      <c r="K244" s="18">
        <f>824.75</f>
        <v>824.75</v>
      </c>
      <c r="L244" s="19">
        <f t="shared" si="4"/>
        <v>1199323.81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f>89919.63</f>
        <v>89919.63</v>
      </c>
      <c r="G245" s="18">
        <f>44853.37</f>
        <v>44853.37</v>
      </c>
      <c r="H245" s="18">
        <f>23185.22</f>
        <v>23185.22</v>
      </c>
      <c r="I245" s="18">
        <f>8865.54</f>
        <v>8865.5400000000009</v>
      </c>
      <c r="J245" s="18"/>
      <c r="K245" s="18"/>
      <c r="L245" s="19">
        <f>SUM(F245:K245)</f>
        <v>166823.76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14447058.609999998</v>
      </c>
      <c r="G247" s="41">
        <f t="shared" si="5"/>
        <v>6590371.2800000021</v>
      </c>
      <c r="H247" s="41">
        <f t="shared" si="5"/>
        <v>3024320.35</v>
      </c>
      <c r="I247" s="41">
        <f t="shared" si="5"/>
        <v>1892489.1400000001</v>
      </c>
      <c r="J247" s="41">
        <f t="shared" si="5"/>
        <v>129332.30999999998</v>
      </c>
      <c r="K247" s="41">
        <f t="shared" si="5"/>
        <v>47112.54</v>
      </c>
      <c r="L247" s="41">
        <f t="shared" si="5"/>
        <v>26130684.23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f>227071.8</f>
        <v>227071.8</v>
      </c>
      <c r="G251" s="18">
        <f>63182.56+6028.32</f>
        <v>69210.880000000005</v>
      </c>
      <c r="H251" s="18">
        <f>26527.6</f>
        <v>26527.599999999999</v>
      </c>
      <c r="I251" s="18">
        <f>3154.51</f>
        <v>3154.51</v>
      </c>
      <c r="J251" s="18">
        <f>0</f>
        <v>0</v>
      </c>
      <c r="K251" s="18">
        <f>4558.88</f>
        <v>4558.88</v>
      </c>
      <c r="L251" s="19">
        <f t="shared" si="6"/>
        <v>330523.67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f>107621.02+54440.47+61819.92+10400</f>
        <v>234281.40999999997</v>
      </c>
      <c r="I255" s="18">
        <f>4472.31</f>
        <v>4472.3100000000004</v>
      </c>
      <c r="J255" s="18">
        <f>29803.48</f>
        <v>29803.48</v>
      </c>
      <c r="K255" s="18"/>
      <c r="L255" s="19">
        <f t="shared" si="6"/>
        <v>268557.19999999995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227071.8</v>
      </c>
      <c r="G256" s="41">
        <f t="shared" si="7"/>
        <v>69210.880000000005</v>
      </c>
      <c r="H256" s="41">
        <f t="shared" si="7"/>
        <v>260809.00999999998</v>
      </c>
      <c r="I256" s="41">
        <f t="shared" si="7"/>
        <v>7626.8200000000006</v>
      </c>
      <c r="J256" s="41">
        <f t="shared" si="7"/>
        <v>29803.48</v>
      </c>
      <c r="K256" s="41">
        <f t="shared" si="7"/>
        <v>4558.88</v>
      </c>
      <c r="L256" s="41">
        <f>SUM(F256:K256)</f>
        <v>599080.86999999988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40073264.729999997</v>
      </c>
      <c r="G257" s="41">
        <f t="shared" si="8"/>
        <v>18041966.560000002</v>
      </c>
      <c r="H257" s="41">
        <f t="shared" si="8"/>
        <v>7781848.1799999997</v>
      </c>
      <c r="I257" s="41">
        <f t="shared" si="8"/>
        <v>3917859.18</v>
      </c>
      <c r="J257" s="41">
        <f t="shared" si="8"/>
        <v>315085.06999999995</v>
      </c>
      <c r="K257" s="41">
        <f t="shared" si="8"/>
        <v>75381.210000000006</v>
      </c>
      <c r="L257" s="41">
        <f t="shared" si="8"/>
        <v>70205404.930000007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f>270000+2051585</f>
        <v>2321585</v>
      </c>
      <c r="L260" s="19">
        <f>SUM(F260:K260)</f>
        <v>2321585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f>152806.5+2567449.2</f>
        <v>2720255.7</v>
      </c>
      <c r="L261" s="19">
        <f>SUM(F261:K261)</f>
        <v>2720255.7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f>90000</f>
        <v>90000</v>
      </c>
      <c r="L263" s="19">
        <f>SUM(F263:K263)</f>
        <v>90000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f>128373.04+982788</f>
        <v>1111161.04</v>
      </c>
      <c r="L266" s="19">
        <f t="shared" si="9"/>
        <v>1111161.04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60703.75</v>
      </c>
      <c r="L268" s="19">
        <f t="shared" si="9"/>
        <v>60703.75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6303705.4900000002</v>
      </c>
      <c r="L270" s="41">
        <f t="shared" si="9"/>
        <v>6303705.4900000002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40073264.729999997</v>
      </c>
      <c r="G271" s="42">
        <f t="shared" si="11"/>
        <v>18041966.560000002</v>
      </c>
      <c r="H271" s="42">
        <f t="shared" si="11"/>
        <v>7781848.1799999997</v>
      </c>
      <c r="I271" s="42">
        <f t="shared" si="11"/>
        <v>3917859.18</v>
      </c>
      <c r="J271" s="42">
        <f t="shared" si="11"/>
        <v>315085.06999999995</v>
      </c>
      <c r="K271" s="42">
        <f t="shared" si="11"/>
        <v>6379086.7000000002</v>
      </c>
      <c r="L271" s="42">
        <f t="shared" si="11"/>
        <v>76509110.420000002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556071.88+3953.76</f>
        <v>560025.64</v>
      </c>
      <c r="G276" s="18">
        <f>139639.79+447.76</f>
        <v>140087.55000000002</v>
      </c>
      <c r="H276" s="18">
        <f>3184.99+-116.72</f>
        <v>3068.27</v>
      </c>
      <c r="I276" s="18">
        <f>60883.77+15773.16</f>
        <v>76656.929999999993</v>
      </c>
      <c r="J276" s="18">
        <f>6915.5+1030.79</f>
        <v>7946.29</v>
      </c>
      <c r="K276" s="18"/>
      <c r="L276" s="19">
        <f>SUM(F276:K276)</f>
        <v>787784.68000000017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500228.05+26104.81</f>
        <v>526332.86</v>
      </c>
      <c r="G277" s="18">
        <f>219495.62+2226.79</f>
        <v>221722.41</v>
      </c>
      <c r="H277" s="18">
        <f>3179.76</f>
        <v>3179.76</v>
      </c>
      <c r="I277" s="18">
        <f>1152+811.57</f>
        <v>1963.5700000000002</v>
      </c>
      <c r="J277" s="18"/>
      <c r="K277" s="18"/>
      <c r="L277" s="19">
        <f>SUM(F277:K277)</f>
        <v>753198.6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f>93803.75+195160.5+1432.65</f>
        <v>290396.90000000002</v>
      </c>
      <c r="G279" s="18">
        <f>14626.17+21447.97+169.26</f>
        <v>36243.4</v>
      </c>
      <c r="H279" s="18">
        <f>0+78.17</f>
        <v>78.17</v>
      </c>
      <c r="I279" s="18">
        <f>4603.83+3494.38+3858.57</f>
        <v>11956.78</v>
      </c>
      <c r="J279" s="18"/>
      <c r="K279" s="18"/>
      <c r="L279" s="19">
        <f>SUM(F279:K279)</f>
        <v>338675.25000000006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f>4726.93+116269.58+4114.62</f>
        <v>125111.13</v>
      </c>
      <c r="G281" s="18">
        <f>994.7+38015.16+343.66</f>
        <v>39353.520000000004</v>
      </c>
      <c r="H281" s="18">
        <f>46069.3+462.5+912.03</f>
        <v>47443.83</v>
      </c>
      <c r="I281" s="18">
        <f>235.28+223.6</f>
        <v>458.88</v>
      </c>
      <c r="J281" s="18">
        <f>2626.23</f>
        <v>2626.23</v>
      </c>
      <c r="K281" s="18"/>
      <c r="L281" s="19">
        <f t="shared" ref="L281:L287" si="12">SUM(F281:K281)</f>
        <v>214993.59000000005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73562.12+3475+67075.03</f>
        <v>144112.15</v>
      </c>
      <c r="G282" s="18">
        <f>21720.74+265.87+20302.34</f>
        <v>42288.95</v>
      </c>
      <c r="H282" s="18">
        <f>63939.06+3918.17+171326.42</f>
        <v>239183.65000000002</v>
      </c>
      <c r="I282" s="18">
        <f>51105.98+36047.44+9858.31</f>
        <v>97011.73000000001</v>
      </c>
      <c r="J282" s="18">
        <f>522975.34</f>
        <v>522975.34</v>
      </c>
      <c r="K282" s="18"/>
      <c r="L282" s="19">
        <f t="shared" si="12"/>
        <v>1045571.8200000001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f>102993.86+43965.6</f>
        <v>146959.46</v>
      </c>
      <c r="G283" s="18">
        <f>52714.32+21466.4</f>
        <v>74180.72</v>
      </c>
      <c r="H283" s="18">
        <f>49360.09+86820.64</f>
        <v>136180.72999999998</v>
      </c>
      <c r="I283" s="18">
        <f>1397.47+2239.54</f>
        <v>3637.01</v>
      </c>
      <c r="J283" s="18"/>
      <c r="K283" s="18"/>
      <c r="L283" s="19">
        <f t="shared" si="12"/>
        <v>360957.92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28693.32</v>
      </c>
      <c r="I287" s="18"/>
      <c r="J287" s="18"/>
      <c r="K287" s="18"/>
      <c r="L287" s="19">
        <f t="shared" si="12"/>
        <v>28693.32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1792938.1399999997</v>
      </c>
      <c r="G290" s="42">
        <f t="shared" si="13"/>
        <v>553876.55000000005</v>
      </c>
      <c r="H290" s="42">
        <f t="shared" si="13"/>
        <v>457827.73000000004</v>
      </c>
      <c r="I290" s="42">
        <f t="shared" si="13"/>
        <v>191684.90000000002</v>
      </c>
      <c r="J290" s="42">
        <f t="shared" si="13"/>
        <v>533547.86</v>
      </c>
      <c r="K290" s="42">
        <f t="shared" si="13"/>
        <v>0</v>
      </c>
      <c r="L290" s="41">
        <f t="shared" si="13"/>
        <v>3529875.18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f>25712.82+1929.08</f>
        <v>27641.9</v>
      </c>
      <c r="G295" s="18">
        <f>2185.94+218.47</f>
        <v>2404.41</v>
      </c>
      <c r="H295" s="18">
        <f>-56.95</f>
        <v>-56.95</v>
      </c>
      <c r="I295" s="18">
        <f>11995.16+7695.91</f>
        <v>19691.07</v>
      </c>
      <c r="J295" s="18">
        <f>179.99+502.93</f>
        <v>682.92000000000007</v>
      </c>
      <c r="K295" s="18"/>
      <c r="L295" s="19">
        <f>SUM(F295:K295)</f>
        <v>50363.35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f>304649.25</f>
        <v>304649.25</v>
      </c>
      <c r="G296" s="18">
        <f>123057.21</f>
        <v>123057.21</v>
      </c>
      <c r="H296" s="18">
        <f>1704.67</f>
        <v>1704.67</v>
      </c>
      <c r="I296" s="18">
        <v>435.08</v>
      </c>
      <c r="J296" s="18"/>
      <c r="K296" s="18"/>
      <c r="L296" s="19">
        <f>SUM(F296:K296)</f>
        <v>429846.21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f>34391.5+23464.5+699.01</f>
        <v>58555.01</v>
      </c>
      <c r="G298" s="18">
        <f>6543.47+3923.38+82.59</f>
        <v>10549.44</v>
      </c>
      <c r="H298" s="18">
        <f>38.14</f>
        <v>38.14</v>
      </c>
      <c r="I298" s="18">
        <f>718.77+276.66+1882.64</f>
        <v>2878.07</v>
      </c>
      <c r="J298" s="18"/>
      <c r="K298" s="18"/>
      <c r="L298" s="19">
        <f>SUM(F298:K298)</f>
        <v>72020.66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f>30358.5+2007.57</f>
        <v>32366.07</v>
      </c>
      <c r="G300" s="18">
        <f>6175.89+167.67</f>
        <v>6343.56</v>
      </c>
      <c r="H300" s="18">
        <f>444.99</f>
        <v>444.99</v>
      </c>
      <c r="I300" s="18">
        <f>109.1</f>
        <v>109.1</v>
      </c>
      <c r="J300" s="18"/>
      <c r="K300" s="18"/>
      <c r="L300" s="19">
        <f t="shared" ref="L300:L306" si="14">SUM(F300:K300)</f>
        <v>39263.719999999994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f>26263.26</f>
        <v>26263.26</v>
      </c>
      <c r="G301" s="18">
        <f>7949.39</f>
        <v>7949.39</v>
      </c>
      <c r="H301" s="18">
        <f>500+67082.93</f>
        <v>67582.929999999993</v>
      </c>
      <c r="I301" s="18">
        <f>776.46+3860.02</f>
        <v>4636.4799999999996</v>
      </c>
      <c r="J301" s="18">
        <f>204771.22</f>
        <v>204771.22</v>
      </c>
      <c r="K301" s="18"/>
      <c r="L301" s="19">
        <f t="shared" si="14"/>
        <v>311203.27999999997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f>21451.32</f>
        <v>21451.32</v>
      </c>
      <c r="G302" s="18">
        <f>10473.71</f>
        <v>10473.709999999999</v>
      </c>
      <c r="H302" s="18">
        <f>42360.79</f>
        <v>42360.79</v>
      </c>
      <c r="I302" s="18">
        <f>1092.69</f>
        <v>1092.69</v>
      </c>
      <c r="J302" s="18"/>
      <c r="K302" s="18"/>
      <c r="L302" s="19">
        <f t="shared" si="14"/>
        <v>75378.510000000009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>
        <f>13121.45</f>
        <v>13121.45</v>
      </c>
      <c r="I306" s="18"/>
      <c r="J306" s="18"/>
      <c r="K306" s="18"/>
      <c r="L306" s="19">
        <f t="shared" si="14"/>
        <v>13121.45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470926.81000000006</v>
      </c>
      <c r="G309" s="42">
        <f t="shared" si="15"/>
        <v>160777.72</v>
      </c>
      <c r="H309" s="42">
        <f t="shared" si="15"/>
        <v>125196.02</v>
      </c>
      <c r="I309" s="42">
        <f t="shared" si="15"/>
        <v>28842.489999999998</v>
      </c>
      <c r="J309" s="42">
        <f t="shared" si="15"/>
        <v>205454.14</v>
      </c>
      <c r="K309" s="42">
        <f t="shared" si="15"/>
        <v>0</v>
      </c>
      <c r="L309" s="41">
        <f t="shared" si="15"/>
        <v>991197.17999999993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f>3220.91</f>
        <v>3220.91</v>
      </c>
      <c r="G314" s="18">
        <f>364.77</f>
        <v>364.77</v>
      </c>
      <c r="H314" s="18">
        <f>-95.09</f>
        <v>-95.09</v>
      </c>
      <c r="I314" s="18">
        <f>14222.53+12849.51</f>
        <v>27072.04</v>
      </c>
      <c r="J314" s="18">
        <f>2210+839.72</f>
        <v>3049.7200000000003</v>
      </c>
      <c r="K314" s="18"/>
      <c r="L314" s="19">
        <f>SUM(F314:K314)</f>
        <v>33612.35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f>21966.99</f>
        <v>21966.99</v>
      </c>
      <c r="G315" s="18">
        <f>6140.68</f>
        <v>6140.68</v>
      </c>
      <c r="H315" s="18">
        <f>2403.59</f>
        <v>2403.59</v>
      </c>
      <c r="I315" s="18">
        <f>2100+613.47</f>
        <v>2713.4700000000003</v>
      </c>
      <c r="J315" s="18"/>
      <c r="K315" s="18"/>
      <c r="L315" s="19">
        <f>SUM(F315:K315)</f>
        <v>33224.730000000003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f>2112.5+91390.4</f>
        <v>93502.9</v>
      </c>
      <c r="G316" s="18">
        <f>161.61+40079.43</f>
        <v>40241.040000000001</v>
      </c>
      <c r="H316" s="18">
        <f>3025.64+29679.85+19750</f>
        <v>52455.49</v>
      </c>
      <c r="I316" s="18">
        <f>4453.21+21626.5+19188.02+816</f>
        <v>46083.729999999996</v>
      </c>
      <c r="J316" s="18">
        <f>10710.45+22634.01+599</f>
        <v>33943.46</v>
      </c>
      <c r="K316" s="18">
        <f>12081.96</f>
        <v>12081.96</v>
      </c>
      <c r="L316" s="19">
        <f>SUM(F316:K316)</f>
        <v>278308.58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f>1868+18274.13+1167.1</f>
        <v>21309.23</v>
      </c>
      <c r="G317" s="18">
        <f>142.89+2397.19+137.89</f>
        <v>2677.97</v>
      </c>
      <c r="H317" s="18">
        <f>63.68</f>
        <v>63.68</v>
      </c>
      <c r="I317" s="18">
        <f>3143.36</f>
        <v>3143.36</v>
      </c>
      <c r="J317" s="18"/>
      <c r="K317" s="18"/>
      <c r="L317" s="19">
        <f>SUM(F317:K317)</f>
        <v>27194.240000000002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f>42058.11+3351.96</f>
        <v>45410.07</v>
      </c>
      <c r="G319" s="18">
        <f>7070.71+279.96</f>
        <v>7350.67</v>
      </c>
      <c r="H319" s="18">
        <f>1063.66+751.74+742.98</f>
        <v>2558.38</v>
      </c>
      <c r="I319" s="18">
        <f>150+182.16</f>
        <v>332.15999999999997</v>
      </c>
      <c r="J319" s="18">
        <f>1172.56</f>
        <v>1172.56</v>
      </c>
      <c r="K319" s="18"/>
      <c r="L319" s="19">
        <f t="shared" ref="L319:L325" si="16">SUM(F319:K319)</f>
        <v>56823.839999999997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f>5149.72+42249</f>
        <v>47398.720000000001</v>
      </c>
      <c r="G320" s="18">
        <f>1001.61+12787.97</f>
        <v>13789.58</v>
      </c>
      <c r="H320" s="18">
        <f>29607.14+3294.8+107914.52</f>
        <v>140816.46000000002</v>
      </c>
      <c r="I320" s="18">
        <f>3516.42+6209.52</f>
        <v>9725.94</v>
      </c>
      <c r="J320" s="18">
        <f>329409.97</f>
        <v>329409.96999999997</v>
      </c>
      <c r="K320" s="18"/>
      <c r="L320" s="19">
        <f t="shared" si="16"/>
        <v>541140.66999999993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f>35816.32</f>
        <v>35816.32</v>
      </c>
      <c r="G321" s="18">
        <f>17487.48</f>
        <v>17487.48</v>
      </c>
      <c r="H321" s="18">
        <f>2800+70727.93</f>
        <v>73527.929999999993</v>
      </c>
      <c r="I321" s="18">
        <f>1824.43</f>
        <v>1824.43</v>
      </c>
      <c r="J321" s="18"/>
      <c r="K321" s="18"/>
      <c r="L321" s="19">
        <f t="shared" si="16"/>
        <v>128656.15999999999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>
        <f>35953.88+54680.84</f>
        <v>90634.72</v>
      </c>
      <c r="I325" s="18"/>
      <c r="J325" s="18"/>
      <c r="K325" s="18"/>
      <c r="L325" s="19">
        <f t="shared" si="16"/>
        <v>90634.72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268625.14</v>
      </c>
      <c r="G328" s="42">
        <f t="shared" si="17"/>
        <v>88052.19</v>
      </c>
      <c r="H328" s="42">
        <f t="shared" si="17"/>
        <v>362365.16000000003</v>
      </c>
      <c r="I328" s="42">
        <f t="shared" si="17"/>
        <v>90895.12999999999</v>
      </c>
      <c r="J328" s="42">
        <f t="shared" si="17"/>
        <v>367575.70999999996</v>
      </c>
      <c r="K328" s="42">
        <f t="shared" si="17"/>
        <v>12081.96</v>
      </c>
      <c r="L328" s="41">
        <f t="shared" si="17"/>
        <v>1189595.2899999998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f>92339.08</f>
        <v>92339.08</v>
      </c>
      <c r="G333" s="18">
        <f>10646.19</f>
        <v>10646.19</v>
      </c>
      <c r="H333" s="18">
        <f>45573.1</f>
        <v>45573.1</v>
      </c>
      <c r="I333" s="18">
        <f>26347.95</f>
        <v>26347.95</v>
      </c>
      <c r="J333" s="18">
        <f>23621.19</f>
        <v>23621.19</v>
      </c>
      <c r="K333" s="18"/>
      <c r="L333" s="19">
        <f t="shared" si="18"/>
        <v>198527.51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92339.08</v>
      </c>
      <c r="G337" s="41">
        <f t="shared" si="19"/>
        <v>10646.19</v>
      </c>
      <c r="H337" s="41">
        <f t="shared" si="19"/>
        <v>45573.1</v>
      </c>
      <c r="I337" s="41">
        <f t="shared" si="19"/>
        <v>26347.95</v>
      </c>
      <c r="J337" s="41">
        <f t="shared" si="19"/>
        <v>23621.19</v>
      </c>
      <c r="K337" s="41">
        <f t="shared" si="19"/>
        <v>0</v>
      </c>
      <c r="L337" s="41">
        <f t="shared" si="18"/>
        <v>198527.51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2624829.17</v>
      </c>
      <c r="G338" s="41">
        <f t="shared" si="20"/>
        <v>813352.64999999991</v>
      </c>
      <c r="H338" s="41">
        <f t="shared" si="20"/>
        <v>990962.01</v>
      </c>
      <c r="I338" s="41">
        <f t="shared" si="20"/>
        <v>337770.47000000003</v>
      </c>
      <c r="J338" s="41">
        <f t="shared" si="20"/>
        <v>1130198.8999999999</v>
      </c>
      <c r="K338" s="41">
        <f t="shared" si="20"/>
        <v>12081.96</v>
      </c>
      <c r="L338" s="41">
        <f t="shared" si="20"/>
        <v>5909195.1600000001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66471.66</v>
      </c>
      <c r="L344" s="19">
        <f t="shared" ref="L344:L350" si="21">SUM(F344:K344)</f>
        <v>66471.66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66471.66</v>
      </c>
      <c r="L351" s="41">
        <f>SUM(L341:L350)</f>
        <v>66471.66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2624829.17</v>
      </c>
      <c r="G352" s="41">
        <f>G338</f>
        <v>813352.64999999991</v>
      </c>
      <c r="H352" s="41">
        <f>H338</f>
        <v>990962.01</v>
      </c>
      <c r="I352" s="41">
        <f>I338</f>
        <v>337770.47000000003</v>
      </c>
      <c r="J352" s="41">
        <f>J338</f>
        <v>1130198.8999999999</v>
      </c>
      <c r="K352" s="47">
        <f>K338+K351</f>
        <v>78553.62</v>
      </c>
      <c r="L352" s="41">
        <f>L338+L351</f>
        <v>5975666.8200000003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228515.06+53445.72</f>
        <v>281960.78000000003</v>
      </c>
      <c r="G358" s="18">
        <f>67336.85+26953.3</f>
        <v>94290.150000000009</v>
      </c>
      <c r="H358" s="18">
        <f>19445.53+1448.09</f>
        <v>20893.62</v>
      </c>
      <c r="I358" s="18">
        <f>406687.62+44278.45</f>
        <v>450966.07</v>
      </c>
      <c r="J358" s="18"/>
      <c r="K358" s="18">
        <f>81+6676.58</f>
        <v>6757.58</v>
      </c>
      <c r="L358" s="13">
        <f>SUM(F358:K358)</f>
        <v>854868.20000000007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f>97804.09+26076.78</f>
        <v>123880.87</v>
      </c>
      <c r="G359" s="18">
        <f>17283.51+13150.82</f>
        <v>30434.329999999998</v>
      </c>
      <c r="H359" s="18">
        <f>2096.15+706.54</f>
        <v>2802.69</v>
      </c>
      <c r="I359" s="18">
        <f>155397.11+21603.97</f>
        <v>177001.08</v>
      </c>
      <c r="J359" s="18">
        <f>382</f>
        <v>382</v>
      </c>
      <c r="K359" s="18">
        <f>290+3257.58</f>
        <v>3547.58</v>
      </c>
      <c r="L359" s="19">
        <f>SUM(F359:K359)</f>
        <v>338048.55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f>154016.58+43539.24</f>
        <v>197555.81999999998</v>
      </c>
      <c r="G360" s="18">
        <f>32399.52+21957.35</f>
        <v>54356.869999999995</v>
      </c>
      <c r="H360" s="18">
        <f>5608+1179.67</f>
        <v>6787.67</v>
      </c>
      <c r="I360" s="18">
        <f>273123.44+36071.18</f>
        <v>309194.62</v>
      </c>
      <c r="J360" s="18">
        <f>3433.63</f>
        <v>3433.63</v>
      </c>
      <c r="K360" s="18">
        <f>365.86+5439.03</f>
        <v>5804.8899999999994</v>
      </c>
      <c r="L360" s="19">
        <f>SUM(F360:K360)</f>
        <v>577133.5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603397.47</v>
      </c>
      <c r="G362" s="47">
        <f t="shared" si="22"/>
        <v>179081.35</v>
      </c>
      <c r="H362" s="47">
        <f t="shared" si="22"/>
        <v>30483.979999999996</v>
      </c>
      <c r="I362" s="47">
        <f t="shared" si="22"/>
        <v>937161.77</v>
      </c>
      <c r="J362" s="47">
        <f t="shared" si="22"/>
        <v>3815.63</v>
      </c>
      <c r="K362" s="47">
        <f t="shared" si="22"/>
        <v>16110.05</v>
      </c>
      <c r="L362" s="47">
        <f t="shared" si="22"/>
        <v>1770050.25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373466.25+37813.8</f>
        <v>411280.05</v>
      </c>
      <c r="G367" s="18">
        <f>138721.51+18449.79</f>
        <v>157171.30000000002</v>
      </c>
      <c r="H367" s="18">
        <f>244424+30804.79</f>
        <v>275228.78999999998</v>
      </c>
      <c r="I367" s="56">
        <f>SUM(F367:H367)</f>
        <v>843680.1399999999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33221.37+6464.65</f>
        <v>39686.020000000004</v>
      </c>
      <c r="G368" s="63">
        <f>16675.6+3154.18</f>
        <v>19829.78</v>
      </c>
      <c r="H368" s="63">
        <f>28699.44+5266.39</f>
        <v>33965.83</v>
      </c>
      <c r="I368" s="56">
        <f>SUM(F368:H368)</f>
        <v>93481.63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450966.07</v>
      </c>
      <c r="G369" s="47">
        <f>SUM(G367:G368)</f>
        <v>177001.08000000002</v>
      </c>
      <c r="H369" s="47">
        <f>SUM(H367:H368)</f>
        <v>309194.62</v>
      </c>
      <c r="I369" s="47">
        <f>SUM(I367:I368)</f>
        <v>937161.7699999999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>
        <f>53276.1+31260.78+680821.16</f>
        <v>765358.04</v>
      </c>
      <c r="I376" s="18"/>
      <c r="J376" s="18"/>
      <c r="K376" s="18"/>
      <c r="L376" s="13">
        <f t="shared" si="23"/>
        <v>765358.04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>
        <f>14827.86</f>
        <v>14827.86</v>
      </c>
      <c r="I378" s="18"/>
      <c r="J378" s="18"/>
      <c r="K378" s="18"/>
      <c r="L378" s="13">
        <f t="shared" si="23"/>
        <v>14827.86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>
        <f>1311.67+2153576.55</f>
        <v>2154888.2199999997</v>
      </c>
      <c r="I379" s="18">
        <f>650+300</f>
        <v>950</v>
      </c>
      <c r="J379" s="18">
        <f>337</f>
        <v>337</v>
      </c>
      <c r="K379" s="18">
        <f>80762.11</f>
        <v>80762.11</v>
      </c>
      <c r="L379" s="13">
        <f t="shared" si="23"/>
        <v>2236937.3299999996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>
        <f>1375.88</f>
        <v>1375.88</v>
      </c>
      <c r="G380" s="18">
        <f>258.79</f>
        <v>258.79000000000002</v>
      </c>
      <c r="H380" s="18">
        <f>11420.25+12650</f>
        <v>24070.25</v>
      </c>
      <c r="I380" s="18">
        <f>13614.23+1980.38</f>
        <v>15594.61</v>
      </c>
      <c r="J380" s="18">
        <f>136362.77+711494.88+4740</f>
        <v>852597.65</v>
      </c>
      <c r="K380" s="18"/>
      <c r="L380" s="13">
        <f t="shared" si="23"/>
        <v>893897.18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1375.88</v>
      </c>
      <c r="G382" s="139">
        <f t="shared" ref="G382:L382" si="24">SUM(G374:G381)</f>
        <v>258.79000000000002</v>
      </c>
      <c r="H382" s="139">
        <f t="shared" si="24"/>
        <v>2959144.3699999996</v>
      </c>
      <c r="I382" s="41">
        <f t="shared" si="24"/>
        <v>16544.61</v>
      </c>
      <c r="J382" s="47">
        <f t="shared" si="24"/>
        <v>852934.65</v>
      </c>
      <c r="K382" s="47">
        <f t="shared" si="24"/>
        <v>80762.11</v>
      </c>
      <c r="L382" s="47">
        <f t="shared" si="24"/>
        <v>3911020.4099999997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f>1111161.04</f>
        <v>1111161.04</v>
      </c>
      <c r="H400" s="18">
        <f>1097.13+12093.44</f>
        <v>13190.57</v>
      </c>
      <c r="I400" s="18">
        <f>5225+12530</f>
        <v>17755</v>
      </c>
      <c r="J400" s="24" t="s">
        <v>288</v>
      </c>
      <c r="K400" s="24" t="s">
        <v>288</v>
      </c>
      <c r="L400" s="56">
        <f t="shared" si="26"/>
        <v>1142106.6100000001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1111161.04</v>
      </c>
      <c r="H401" s="47">
        <f>SUM(H395:H400)</f>
        <v>13190.57</v>
      </c>
      <c r="I401" s="47">
        <f>SUM(I395:I400)</f>
        <v>17755</v>
      </c>
      <c r="J401" s="45" t="s">
        <v>288</v>
      </c>
      <c r="K401" s="45" t="s">
        <v>288</v>
      </c>
      <c r="L401" s="47">
        <f>SUM(L395:L400)</f>
        <v>1142106.6100000001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1111161.04</v>
      </c>
      <c r="H408" s="47">
        <f>H393+H401+H407</f>
        <v>13190.57</v>
      </c>
      <c r="I408" s="47">
        <f>I393+I401+I407</f>
        <v>17755</v>
      </c>
      <c r="J408" s="24" t="s">
        <v>288</v>
      </c>
      <c r="K408" s="24" t="s">
        <v>288</v>
      </c>
      <c r="L408" s="47">
        <f>L393+L401+L407</f>
        <v>1142106.6100000001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>
        <v>186338.97</v>
      </c>
      <c r="L426" s="56">
        <f t="shared" si="29"/>
        <v>186338.97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186338.97</v>
      </c>
      <c r="L427" s="47">
        <f t="shared" si="30"/>
        <v>186338.97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>
        <v>17150</v>
      </c>
      <c r="I429" s="18"/>
      <c r="J429" s="18"/>
      <c r="K429" s="18"/>
      <c r="L429" s="56">
        <f>SUM(F429:K429)</f>
        <v>17150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17150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17150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17150</v>
      </c>
      <c r="I434" s="47">
        <f t="shared" si="32"/>
        <v>0</v>
      </c>
      <c r="J434" s="47">
        <f t="shared" si="32"/>
        <v>0</v>
      </c>
      <c r="K434" s="47">
        <f t="shared" si="32"/>
        <v>186338.97</v>
      </c>
      <c r="L434" s="47">
        <f t="shared" si="32"/>
        <v>203488.97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f>5378598.08+433630.27</f>
        <v>5812228.3499999996</v>
      </c>
      <c r="H440" s="18"/>
      <c r="I440" s="56">
        <f t="shared" si="33"/>
        <v>5812228.3499999996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>
        <f>-1797634.2+93749.4</f>
        <v>-1703884.8</v>
      </c>
      <c r="H441" s="18"/>
      <c r="I441" s="56">
        <f t="shared" si="33"/>
        <v>-1703884.8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4108343.55</v>
      </c>
      <c r="H446" s="13">
        <f>SUM(H439:H445)</f>
        <v>0</v>
      </c>
      <c r="I446" s="13">
        <f>SUM(I439:I445)</f>
        <v>4108343.55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>
        <f>-1899176.56+94099.4</f>
        <v>-1805077.1600000001</v>
      </c>
      <c r="H448" s="18"/>
      <c r="I448" s="56">
        <f>SUM(F448:H448)</f>
        <v>-1805077.1600000001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-1805077.1600000001</v>
      </c>
      <c r="H452" s="72">
        <f>SUM(H448:H451)</f>
        <v>0</v>
      </c>
      <c r="I452" s="72">
        <f>SUM(I448:I451)</f>
        <v>-1805077.1600000001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f>5480140.44+433280.27</f>
        <v>5913420.7100000009</v>
      </c>
      <c r="H459" s="18"/>
      <c r="I459" s="56">
        <f t="shared" si="34"/>
        <v>5913420.7100000009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5913420.7100000009</v>
      </c>
      <c r="H460" s="83">
        <f>SUM(H454:H459)</f>
        <v>0</v>
      </c>
      <c r="I460" s="83">
        <f>SUM(I454:I459)</f>
        <v>5913420.7100000009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4108343.5500000007</v>
      </c>
      <c r="H461" s="42">
        <f>H452+H460</f>
        <v>0</v>
      </c>
      <c r="I461" s="42">
        <f>I452+I460</f>
        <v>4108343.5500000007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3114262.71</v>
      </c>
      <c r="G465" s="18">
        <v>24789.99</v>
      </c>
      <c r="H465" s="18">
        <v>1314473.28</v>
      </c>
      <c r="I465" s="18">
        <v>23816.560000000001</v>
      </c>
      <c r="J465" s="18">
        <v>4974803.07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75592174.400000006</v>
      </c>
      <c r="G468" s="18">
        <v>1766484.78</v>
      </c>
      <c r="H468" s="18">
        <v>5044417.1900000004</v>
      </c>
      <c r="I468" s="18">
        <v>12210520.5</v>
      </c>
      <c r="J468" s="18">
        <f>1128479.48+13627.13</f>
        <v>1142106.6099999999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75592174.400000006</v>
      </c>
      <c r="G470" s="53">
        <f>SUM(G468:G469)</f>
        <v>1766484.78</v>
      </c>
      <c r="H470" s="53">
        <f>SUM(H468:H469)</f>
        <v>5044417.1900000004</v>
      </c>
      <c r="I470" s="53">
        <f>SUM(I468:I469)</f>
        <v>12210520.5</v>
      </c>
      <c r="J470" s="53">
        <f>SUM(J468:J469)</f>
        <v>1142106.6099999999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76509110.420000002</v>
      </c>
      <c r="G472" s="18">
        <v>1770050.25</v>
      </c>
      <c r="H472" s="18">
        <v>5975666.8200000003</v>
      </c>
      <c r="I472" s="18">
        <v>3911020.41</v>
      </c>
      <c r="J472" s="18">
        <f>186338.97+17150</f>
        <v>203488.97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76509110.420000002</v>
      </c>
      <c r="G474" s="53">
        <f>SUM(G472:G473)</f>
        <v>1770050.25</v>
      </c>
      <c r="H474" s="53">
        <f>SUM(H472:H473)</f>
        <v>5975666.8200000003</v>
      </c>
      <c r="I474" s="53">
        <f>SUM(I472:I473)</f>
        <v>3911020.41</v>
      </c>
      <c r="J474" s="53">
        <f>SUM(J472:J473)</f>
        <v>203488.97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2197326.6899999976</v>
      </c>
      <c r="G476" s="53">
        <f>(G465+G470)- G474</f>
        <v>21224.520000000019</v>
      </c>
      <c r="H476" s="53">
        <f>(H465+H470)- H474</f>
        <v>383223.65000000037</v>
      </c>
      <c r="I476" s="53">
        <f>(I465+I470)- I474</f>
        <v>8323316.6500000004</v>
      </c>
      <c r="J476" s="53">
        <f>(J465+J470)- J474</f>
        <v>5913420.71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33198041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 t="s">
        <v>914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49976585</v>
      </c>
      <c r="G495" s="18"/>
      <c r="H495" s="18"/>
      <c r="I495" s="18"/>
      <c r="J495" s="18"/>
      <c r="K495" s="53">
        <f>SUM(F495:J495)</f>
        <v>49976585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11360000</v>
      </c>
      <c r="G496" s="18"/>
      <c r="H496" s="18"/>
      <c r="I496" s="18"/>
      <c r="J496" s="18"/>
      <c r="K496" s="53">
        <f t="shared" ref="K496:K503" si="35">SUM(F496:J496)</f>
        <v>11360000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2321585</v>
      </c>
      <c r="G497" s="18"/>
      <c r="H497" s="18"/>
      <c r="I497" s="18"/>
      <c r="J497" s="18"/>
      <c r="K497" s="53">
        <f t="shared" si="35"/>
        <v>2321585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59015000</v>
      </c>
      <c r="G498" s="204"/>
      <c r="H498" s="204"/>
      <c r="I498" s="204"/>
      <c r="J498" s="204"/>
      <c r="K498" s="205">
        <f t="shared" si="35"/>
        <v>59015000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f>22359341.81-(2720255.7-900106.38)</f>
        <v>20539192.489999998</v>
      </c>
      <c r="G499" s="18"/>
      <c r="H499" s="18"/>
      <c r="I499" s="18"/>
      <c r="J499" s="18"/>
      <c r="K499" s="53">
        <f t="shared" si="35"/>
        <v>20539192.489999998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79554192.489999995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79554192.489999995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2965000</v>
      </c>
      <c r="G501" s="204"/>
      <c r="H501" s="204"/>
      <c r="I501" s="204"/>
      <c r="J501" s="204"/>
      <c r="K501" s="205">
        <f t="shared" si="35"/>
        <v>2965000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3020602.81-885553.38</f>
        <v>2135049.4300000002</v>
      </c>
      <c r="G502" s="18"/>
      <c r="H502" s="18"/>
      <c r="I502" s="18"/>
      <c r="J502" s="18"/>
      <c r="K502" s="53">
        <f t="shared" si="35"/>
        <v>2135049.4300000002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5100049.43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5100049.43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4245351.11</f>
        <v>4245351.1100000003</v>
      </c>
      <c r="G521" s="18">
        <f>1508000.11</f>
        <v>1508000.11</v>
      </c>
      <c r="H521" s="18">
        <f>923301.3</f>
        <v>923301.3</v>
      </c>
      <c r="I521" s="18">
        <f>24326.35</f>
        <v>24326.35</v>
      </c>
      <c r="J521" s="18">
        <f>153.26</f>
        <v>153.26</v>
      </c>
      <c r="K521" s="18"/>
      <c r="L521" s="88">
        <f>SUM(F521:K521)</f>
        <v>6701132.1299999999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1515581.46</f>
        <v>1515581.46</v>
      </c>
      <c r="G522" s="18">
        <f>577833.82</f>
        <v>577833.81999999995</v>
      </c>
      <c r="H522" s="18">
        <f>919323.96</f>
        <v>919323.96</v>
      </c>
      <c r="I522" s="18">
        <f>8788.07</f>
        <v>8788.07</v>
      </c>
      <c r="J522" s="18">
        <f>82.17</f>
        <v>82.17</v>
      </c>
      <c r="K522" s="18"/>
      <c r="L522" s="88">
        <f>SUM(F522:K522)</f>
        <v>3021609.4799999995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2827636.61</f>
        <v>2827636.61</v>
      </c>
      <c r="G523" s="18">
        <f>1194645.76</f>
        <v>1194645.76</v>
      </c>
      <c r="H523" s="18">
        <f>1140251.34</f>
        <v>1140251.3400000001</v>
      </c>
      <c r="I523" s="18">
        <f>22859.28</f>
        <v>22859.279999999999</v>
      </c>
      <c r="J523" s="18">
        <f>115.85</f>
        <v>115.85</v>
      </c>
      <c r="K523" s="18">
        <f>371.57</f>
        <v>371.57</v>
      </c>
      <c r="L523" s="88">
        <f>SUM(F523:K523)</f>
        <v>5185880.41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8588569.1799999997</v>
      </c>
      <c r="G524" s="108">
        <f t="shared" ref="G524:L524" si="36">SUM(G521:G523)</f>
        <v>3280479.6900000004</v>
      </c>
      <c r="H524" s="108">
        <f t="shared" si="36"/>
        <v>2982876.6</v>
      </c>
      <c r="I524" s="108">
        <f t="shared" si="36"/>
        <v>55973.7</v>
      </c>
      <c r="J524" s="108">
        <f t="shared" si="36"/>
        <v>351.28</v>
      </c>
      <c r="K524" s="108">
        <f t="shared" si="36"/>
        <v>371.57</v>
      </c>
      <c r="L524" s="89">
        <f t="shared" si="36"/>
        <v>14908622.02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1212944.58</f>
        <v>1212944.58</v>
      </c>
      <c r="G526" s="18">
        <f>491521.8</f>
        <v>491521.8</v>
      </c>
      <c r="H526" s="18">
        <f>206538.65</f>
        <v>206538.65</v>
      </c>
      <c r="I526" s="18">
        <f>8451.93</f>
        <v>8451.93</v>
      </c>
      <c r="J526" s="18">
        <f>15087.03</f>
        <v>15087.03</v>
      </c>
      <c r="K526" s="18">
        <f>196.34</f>
        <v>196.34</v>
      </c>
      <c r="L526" s="88">
        <f>SUM(F526:K526)</f>
        <v>1934740.33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315031.46999999997</v>
      </c>
      <c r="G527" s="18">
        <f>100014.28</f>
        <v>100014.28</v>
      </c>
      <c r="H527" s="18">
        <f>28938.55</f>
        <v>28938.55</v>
      </c>
      <c r="I527" s="18">
        <f>3981.79</f>
        <v>3981.79</v>
      </c>
      <c r="J527" s="18">
        <f>2268.49</f>
        <v>2268.4899999999998</v>
      </c>
      <c r="K527" s="18">
        <f>105.26</f>
        <v>105.26</v>
      </c>
      <c r="L527" s="88">
        <f>SUM(F527:K527)</f>
        <v>450339.83999999997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432782.13</f>
        <v>432782.13</v>
      </c>
      <c r="G528" s="18">
        <f>160867.41</f>
        <v>160867.41</v>
      </c>
      <c r="H528" s="18">
        <f>44408.23</f>
        <v>44408.23</v>
      </c>
      <c r="I528" s="18">
        <f>4413.57</f>
        <v>4413.57</v>
      </c>
      <c r="J528" s="18">
        <f>4371.15</f>
        <v>4371.1499999999996</v>
      </c>
      <c r="K528" s="18">
        <f>148.41</f>
        <v>148.41</v>
      </c>
      <c r="L528" s="88">
        <f>SUM(F528:K528)</f>
        <v>646990.9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1960758.1800000002</v>
      </c>
      <c r="G529" s="89">
        <f t="shared" ref="G529:L529" si="37">SUM(G526:G528)</f>
        <v>752403.49</v>
      </c>
      <c r="H529" s="89">
        <f t="shared" si="37"/>
        <v>279885.43</v>
      </c>
      <c r="I529" s="89">
        <f t="shared" si="37"/>
        <v>16847.29</v>
      </c>
      <c r="J529" s="89">
        <f t="shared" si="37"/>
        <v>21726.67</v>
      </c>
      <c r="K529" s="89">
        <f t="shared" si="37"/>
        <v>450.01</v>
      </c>
      <c r="L529" s="89">
        <f t="shared" si="37"/>
        <v>3032071.07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54033.98</f>
        <v>54033.98</v>
      </c>
      <c r="G531" s="18">
        <f>16627.94</f>
        <v>16627.939999999999</v>
      </c>
      <c r="H531" s="18"/>
      <c r="I531" s="18"/>
      <c r="J531" s="18"/>
      <c r="K531" s="18"/>
      <c r="L531" s="88">
        <f>SUM(F531:K531)</f>
        <v>70661.919999999998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f>28967.56</f>
        <v>28967.56</v>
      </c>
      <c r="G532" s="18">
        <f>8914.23</f>
        <v>8914.23</v>
      </c>
      <c r="H532" s="18"/>
      <c r="I532" s="18"/>
      <c r="J532" s="18"/>
      <c r="K532" s="18"/>
      <c r="L532" s="88">
        <f>SUM(F532:K532)</f>
        <v>37881.79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>40844.39</f>
        <v>40844.39</v>
      </c>
      <c r="G533" s="18">
        <f>12569.09</f>
        <v>12569.09</v>
      </c>
      <c r="H533" s="18"/>
      <c r="I533" s="18"/>
      <c r="J533" s="18"/>
      <c r="K533" s="18"/>
      <c r="L533" s="88">
        <f>SUM(F533:K533)</f>
        <v>53413.479999999996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123845.93000000001</v>
      </c>
      <c r="G534" s="89">
        <f t="shared" ref="G534:L534" si="38">SUM(G531:G533)</f>
        <v>38111.259999999995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161957.19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f>677.33</f>
        <v>677.33</v>
      </c>
      <c r="I536" s="18"/>
      <c r="J536" s="18"/>
      <c r="K536" s="18"/>
      <c r="L536" s="88">
        <f>SUM(F536:K536)</f>
        <v>677.33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f>363.12</f>
        <v>363.12</v>
      </c>
      <c r="I537" s="18"/>
      <c r="J537" s="18"/>
      <c r="K537" s="18"/>
      <c r="L537" s="88">
        <f>SUM(F537:K537)</f>
        <v>363.12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f>511.99</f>
        <v>511.99</v>
      </c>
      <c r="I538" s="18"/>
      <c r="J538" s="18"/>
      <c r="K538" s="18"/>
      <c r="L538" s="88">
        <f>SUM(F538:K538)</f>
        <v>511.99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1552.44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1552.44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f>266302.54</f>
        <v>266302.53999999998</v>
      </c>
      <c r="G541" s="18">
        <f>93458.26</f>
        <v>93458.26</v>
      </c>
      <c r="H541" s="18">
        <f>128872.98</f>
        <v>128872.98</v>
      </c>
      <c r="I541" s="18"/>
      <c r="J541" s="18"/>
      <c r="K541" s="18">
        <f>280.84</f>
        <v>280.83999999999997</v>
      </c>
      <c r="L541" s="88">
        <f>SUM(F541:K541)</f>
        <v>488914.62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f>129932.1</f>
        <v>129932.1</v>
      </c>
      <c r="G542" s="18">
        <f>45599.37</f>
        <v>45599.37</v>
      </c>
      <c r="H542" s="18">
        <f>62878.62</f>
        <v>62878.62</v>
      </c>
      <c r="I542" s="18"/>
      <c r="J542" s="18"/>
      <c r="K542" s="18">
        <f>137.02</f>
        <v>137.02000000000001</v>
      </c>
      <c r="L542" s="88">
        <f>SUM(F542:K542)</f>
        <v>238547.11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f>216941.83</f>
        <v>216941.83</v>
      </c>
      <c r="G543" s="18">
        <f>76135.24</f>
        <v>76135.240000000005</v>
      </c>
      <c r="H543" s="18">
        <f>104985.64</f>
        <v>104985.64</v>
      </c>
      <c r="I543" s="18"/>
      <c r="J543" s="18"/>
      <c r="K543" s="18">
        <f>228.78</f>
        <v>228.78</v>
      </c>
      <c r="L543" s="88">
        <f>SUM(F543:K543)</f>
        <v>398291.49000000005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613176.47</v>
      </c>
      <c r="G544" s="193">
        <f t="shared" ref="G544:L544" si="40">SUM(G541:G543)</f>
        <v>215192.87</v>
      </c>
      <c r="H544" s="193">
        <f t="shared" si="40"/>
        <v>296737.24</v>
      </c>
      <c r="I544" s="193">
        <f t="shared" si="40"/>
        <v>0</v>
      </c>
      <c r="J544" s="193">
        <f t="shared" si="40"/>
        <v>0</v>
      </c>
      <c r="K544" s="193">
        <f t="shared" si="40"/>
        <v>646.64</v>
      </c>
      <c r="L544" s="193">
        <f t="shared" si="40"/>
        <v>1125753.22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11286349.76</v>
      </c>
      <c r="G545" s="89">
        <f t="shared" ref="G545:L545" si="41">G524+G529+G534+G539+G544</f>
        <v>4286187.3100000005</v>
      </c>
      <c r="H545" s="89">
        <f t="shared" si="41"/>
        <v>3561051.71</v>
      </c>
      <c r="I545" s="89">
        <f t="shared" si="41"/>
        <v>72820.989999999991</v>
      </c>
      <c r="J545" s="89">
        <f t="shared" si="41"/>
        <v>22077.949999999997</v>
      </c>
      <c r="K545" s="89">
        <f t="shared" si="41"/>
        <v>1468.2199999999998</v>
      </c>
      <c r="L545" s="89">
        <f t="shared" si="41"/>
        <v>19229955.940000001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6701132.1299999999</v>
      </c>
      <c r="G549" s="87">
        <f>L526</f>
        <v>1934740.33</v>
      </c>
      <c r="H549" s="87">
        <f>L531</f>
        <v>70661.919999999998</v>
      </c>
      <c r="I549" s="87">
        <f>L536</f>
        <v>677.33</v>
      </c>
      <c r="J549" s="87">
        <f>L541</f>
        <v>488914.62</v>
      </c>
      <c r="K549" s="87">
        <f>SUM(F549:J549)</f>
        <v>9196126.3300000001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3021609.4799999995</v>
      </c>
      <c r="G550" s="87">
        <f>L527</f>
        <v>450339.83999999997</v>
      </c>
      <c r="H550" s="87">
        <f>L532</f>
        <v>37881.79</v>
      </c>
      <c r="I550" s="87">
        <f>L537</f>
        <v>363.12</v>
      </c>
      <c r="J550" s="87">
        <f>L542</f>
        <v>238547.11</v>
      </c>
      <c r="K550" s="87">
        <f>SUM(F550:J550)</f>
        <v>3748741.3399999994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5185880.41</v>
      </c>
      <c r="G551" s="87">
        <f>L528</f>
        <v>646990.9</v>
      </c>
      <c r="H551" s="87">
        <f>L533</f>
        <v>53413.479999999996</v>
      </c>
      <c r="I551" s="87">
        <f>L538</f>
        <v>511.99</v>
      </c>
      <c r="J551" s="87">
        <f>L543</f>
        <v>398291.49000000005</v>
      </c>
      <c r="K551" s="87">
        <f>SUM(F551:J551)</f>
        <v>6285088.2700000014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14908622.02</v>
      </c>
      <c r="G552" s="89">
        <f t="shared" si="42"/>
        <v>3032071.07</v>
      </c>
      <c r="H552" s="89">
        <f t="shared" si="42"/>
        <v>161957.19</v>
      </c>
      <c r="I552" s="89">
        <f t="shared" si="42"/>
        <v>1552.44</v>
      </c>
      <c r="J552" s="89">
        <f t="shared" si="42"/>
        <v>1125753.22</v>
      </c>
      <c r="K552" s="89">
        <f t="shared" si="42"/>
        <v>19229955.940000001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f>284859.18</f>
        <v>284859.18</v>
      </c>
      <c r="G562" s="18">
        <f>96098.09</f>
        <v>96098.09</v>
      </c>
      <c r="H562" s="18">
        <f>20485.48+3165.19</f>
        <v>23650.67</v>
      </c>
      <c r="I562" s="18">
        <f>955.1</f>
        <v>955.1</v>
      </c>
      <c r="J562" s="18"/>
      <c r="K562" s="18"/>
      <c r="L562" s="88">
        <f>SUM(F562:K562)</f>
        <v>405563.04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f>133657.25</f>
        <v>133657.25</v>
      </c>
      <c r="G563" s="18">
        <f>43803.86</f>
        <v>43803.86</v>
      </c>
      <c r="H563" s="18">
        <f>2557.91+1544.33</f>
        <v>4102.24</v>
      </c>
      <c r="I563" s="18"/>
      <c r="J563" s="18"/>
      <c r="K563" s="18"/>
      <c r="L563" s="88">
        <f>SUM(F563:K563)</f>
        <v>181563.34999999998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f>273276.37</f>
        <v>273276.37</v>
      </c>
      <c r="G564" s="18">
        <f>119735.19</f>
        <v>119735.19</v>
      </c>
      <c r="H564" s="18">
        <f>14883.19+2578.5</f>
        <v>17461.690000000002</v>
      </c>
      <c r="I564" s="18">
        <f>7224.86</f>
        <v>7224.86</v>
      </c>
      <c r="J564" s="18"/>
      <c r="K564" s="18"/>
      <c r="L564" s="88">
        <f>SUM(F564:K564)</f>
        <v>417698.11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691792.8</v>
      </c>
      <c r="G565" s="89">
        <f t="shared" si="44"/>
        <v>259637.14</v>
      </c>
      <c r="H565" s="89">
        <f t="shared" si="44"/>
        <v>45214.6</v>
      </c>
      <c r="I565" s="89">
        <f t="shared" si="44"/>
        <v>8179.96</v>
      </c>
      <c r="J565" s="89">
        <f t="shared" si="44"/>
        <v>0</v>
      </c>
      <c r="K565" s="89">
        <f t="shared" si="44"/>
        <v>0</v>
      </c>
      <c r="L565" s="89">
        <f t="shared" si="44"/>
        <v>1004824.4999999999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691792.8</v>
      </c>
      <c r="G571" s="89">
        <f t="shared" ref="G571:L571" si="46">G560+G565+G570</f>
        <v>259637.14</v>
      </c>
      <c r="H571" s="89">
        <f t="shared" si="46"/>
        <v>45214.6</v>
      </c>
      <c r="I571" s="89">
        <f t="shared" si="46"/>
        <v>8179.96</v>
      </c>
      <c r="J571" s="89">
        <f t="shared" si="46"/>
        <v>0</v>
      </c>
      <c r="K571" s="89">
        <f t="shared" si="46"/>
        <v>0</v>
      </c>
      <c r="L571" s="89">
        <f t="shared" si="46"/>
        <v>1004824.4999999999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59129.64</v>
      </c>
      <c r="G579" s="18"/>
      <c r="H579" s="18"/>
      <c r="I579" s="87">
        <f t="shared" si="47"/>
        <v>59129.64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f>208902.01</f>
        <v>208902.01</v>
      </c>
      <c r="G582" s="18">
        <f>811218.3</f>
        <v>811218.3</v>
      </c>
      <c r="H582" s="18">
        <f>1053325.45</f>
        <v>1053325.45</v>
      </c>
      <c r="I582" s="87">
        <f t="shared" si="47"/>
        <v>2073445.76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782755.86</f>
        <v>782755.86</v>
      </c>
      <c r="I591" s="18">
        <f>381915.66</f>
        <v>381915.66</v>
      </c>
      <c r="J591" s="18">
        <f>637667.53</f>
        <v>637667.53</v>
      </c>
      <c r="K591" s="104">
        <f t="shared" ref="K591:K597" si="48">SUM(H591:J591)</f>
        <v>1802339.05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488914.62</f>
        <v>488914.62</v>
      </c>
      <c r="I592" s="18">
        <f>238547.11</f>
        <v>238547.11</v>
      </c>
      <c r="J592" s="18">
        <f>398291.49</f>
        <v>398291.49</v>
      </c>
      <c r="K592" s="104">
        <f t="shared" si="48"/>
        <v>1125753.22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>
        <f>2462.92</f>
        <v>2462.92</v>
      </c>
      <c r="I593" s="18">
        <f>1201.69</f>
        <v>1201.69</v>
      </c>
      <c r="J593" s="18">
        <f>5727.85</f>
        <v>5727.85</v>
      </c>
      <c r="K593" s="104">
        <f t="shared" si="48"/>
        <v>9392.4600000000009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f>5562.82</f>
        <v>5562.82</v>
      </c>
      <c r="I594" s="18">
        <f>30086.72</f>
        <v>30086.720000000001</v>
      </c>
      <c r="J594" s="18">
        <f>123841.15</f>
        <v>123841.15</v>
      </c>
      <c r="K594" s="104">
        <f t="shared" si="48"/>
        <v>159490.69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4048.11</f>
        <v>4048.11</v>
      </c>
      <c r="I595" s="18">
        <f>10284.82</f>
        <v>10284.82</v>
      </c>
      <c r="J595" s="18">
        <f>21011.51</f>
        <v>21011.51</v>
      </c>
      <c r="K595" s="104">
        <f t="shared" si="48"/>
        <v>35344.44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f>1825.97</f>
        <v>1825.97</v>
      </c>
      <c r="I596" s="18">
        <f>890.91</f>
        <v>890.91</v>
      </c>
      <c r="J596" s="18">
        <f>1487.51</f>
        <v>1487.51</v>
      </c>
      <c r="K596" s="104">
        <f t="shared" si="48"/>
        <v>4204.3900000000003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f>33952.04</f>
        <v>33952.04</v>
      </c>
      <c r="I597" s="18">
        <f>6765.94</f>
        <v>6765.94</v>
      </c>
      <c r="J597" s="18">
        <f>11296.77</f>
        <v>11296.77</v>
      </c>
      <c r="K597" s="104">
        <f t="shared" si="48"/>
        <v>52014.75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1319522.3400000001</v>
      </c>
      <c r="I598" s="108">
        <f>SUM(I591:I597)</f>
        <v>669692.84999999986</v>
      </c>
      <c r="J598" s="108">
        <f>SUM(J591:J597)</f>
        <v>1199323.81</v>
      </c>
      <c r="K598" s="108">
        <f>SUM(K591:K597)</f>
        <v>3188539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640488.98</v>
      </c>
      <c r="I604" s="18">
        <f>254462.3</f>
        <v>254462.3</v>
      </c>
      <c r="J604" s="18">
        <v>520529.21</v>
      </c>
      <c r="K604" s="104">
        <f>SUM(H604:J604)</f>
        <v>1415480.49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640488.98</v>
      </c>
      <c r="I605" s="108">
        <f>SUM(I602:I604)</f>
        <v>254462.3</v>
      </c>
      <c r="J605" s="108">
        <f>SUM(J602:J604)</f>
        <v>520529.21</v>
      </c>
      <c r="K605" s="108">
        <f>SUM(K602:K604)</f>
        <v>1415480.49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109113456.78</v>
      </c>
      <c r="H617" s="109">
        <f>SUM(F52)</f>
        <v>109113456.78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7234664.7300000004</v>
      </c>
      <c r="H618" s="109">
        <f>SUM(G52)</f>
        <v>7234664.7299999995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37055618.409999996</v>
      </c>
      <c r="H619" s="109">
        <f>SUM(H52)</f>
        <v>37055618.410000004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73470670.560000002</v>
      </c>
      <c r="H620" s="109">
        <f>SUM(I52)</f>
        <v>73470670.560000002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4108343.55</v>
      </c>
      <c r="H621" s="109">
        <f>SUM(J52)</f>
        <v>4108343.5500000007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2197326.69</v>
      </c>
      <c r="H622" s="109">
        <f>F476</f>
        <v>2197326.6899999976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21224.52</v>
      </c>
      <c r="H623" s="109">
        <f>G476</f>
        <v>21224.520000000019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383223.65000000008</v>
      </c>
      <c r="H624" s="109">
        <f>H476</f>
        <v>383223.65000000037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8323316.6500000041</v>
      </c>
      <c r="H625" s="109">
        <f>I476</f>
        <v>8323316.6500000004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5913420.7100000009</v>
      </c>
      <c r="H626" s="109">
        <f>J476</f>
        <v>5913420.71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75592174.400000006</v>
      </c>
      <c r="H627" s="104">
        <f>SUM(F468)</f>
        <v>75592174.400000006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1766484.7800000003</v>
      </c>
      <c r="H628" s="104">
        <f>SUM(G468)</f>
        <v>1766484.78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5044417.1900000004</v>
      </c>
      <c r="H629" s="104">
        <f>SUM(H468)</f>
        <v>5044417.1900000004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12210520.5</v>
      </c>
      <c r="H630" s="104">
        <f>SUM(I468)</f>
        <v>12210520.5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1142106.6100000001</v>
      </c>
      <c r="H631" s="104">
        <f>SUM(J468)</f>
        <v>1142106.6099999999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76509110.420000002</v>
      </c>
      <c r="H632" s="104">
        <f>SUM(F472)</f>
        <v>76509110.420000002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5975666.8200000003</v>
      </c>
      <c r="H633" s="104">
        <f>SUM(H472)</f>
        <v>5975666.8200000003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937161.77</v>
      </c>
      <c r="H634" s="104">
        <f>I369</f>
        <v>937161.7699999999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1770050.25</v>
      </c>
      <c r="H635" s="104">
        <f>SUM(G472)</f>
        <v>1770050.25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3911020.4099999997</v>
      </c>
      <c r="H636" s="104">
        <f>SUM(I472)</f>
        <v>3911020.41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1142106.6100000001</v>
      </c>
      <c r="H637" s="164">
        <f>SUM(J468)</f>
        <v>1142106.6099999999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203488.97</v>
      </c>
      <c r="H638" s="164">
        <f>SUM(J472)</f>
        <v>203488.97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4108343.55</v>
      </c>
      <c r="H640" s="104">
        <f>SUM(G461)</f>
        <v>4108343.5500000007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4108343.55</v>
      </c>
      <c r="H642" s="104">
        <f>SUM(I461)</f>
        <v>4108343.5500000007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13190.57</v>
      </c>
      <c r="H644" s="104">
        <f>H408</f>
        <v>13190.57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1111161.04</v>
      </c>
      <c r="H645" s="104">
        <f>G408</f>
        <v>1111161.04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1142106.6100000001</v>
      </c>
      <c r="H646" s="104">
        <f>L408</f>
        <v>1142106.6100000001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3188539</v>
      </c>
      <c r="H647" s="104">
        <f>L208+L226+L244</f>
        <v>3188539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1415480.49</v>
      </c>
      <c r="H648" s="104">
        <f>(J257+J338)-(J255+J336)</f>
        <v>1415480.4899999998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1319522.3399999999</v>
      </c>
      <c r="H649" s="104">
        <f>H598</f>
        <v>1319522.3400000001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669692.84999999986</v>
      </c>
      <c r="H650" s="104">
        <f>I598</f>
        <v>669692.84999999986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1199323.81</v>
      </c>
      <c r="H651" s="104">
        <f>J598</f>
        <v>1199323.81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90000</v>
      </c>
      <c r="H652" s="104">
        <f>K263+K345</f>
        <v>90000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1111161.04</v>
      </c>
      <c r="H655" s="104">
        <f>K266+K347</f>
        <v>1111161.04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33106071.340000004</v>
      </c>
      <c r="G660" s="19">
        <f>(L229+L309+L359)</f>
        <v>16083557.600000001</v>
      </c>
      <c r="H660" s="19">
        <f>(L247+L328+L360)</f>
        <v>27897413.02</v>
      </c>
      <c r="I660" s="19">
        <f>SUM(F660:H660)</f>
        <v>77087041.960000008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287515.64326301927</v>
      </c>
      <c r="G661" s="19">
        <f>(L359/IF(SUM(L358:L360)=0,1,SUM(L358:L360))*(SUM(G97:G110)))</f>
        <v>113695.00737936085</v>
      </c>
      <c r="H661" s="19">
        <f>(L360/IF(SUM(L358:L360)=0,1,SUM(L358:L360))*(SUM(G97:G110)))</f>
        <v>194105.83935761996</v>
      </c>
      <c r="I661" s="19">
        <f>SUM(F661:H661)</f>
        <v>595316.49000000011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1335524.1599999999</v>
      </c>
      <c r="G662" s="19">
        <f>(L226+L306)-(J226+J306)</f>
        <v>676621.96999999986</v>
      </c>
      <c r="H662" s="19">
        <f>(L244+L325)-(J244+J325)</f>
        <v>1279619.48</v>
      </c>
      <c r="I662" s="19">
        <f>SUM(F662:H662)</f>
        <v>3291765.61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908520.63</v>
      </c>
      <c r="G663" s="199">
        <f>SUM(G575:G587)+SUM(I602:I604)+L612</f>
        <v>1065680.6000000001</v>
      </c>
      <c r="H663" s="199">
        <f>SUM(H575:H587)+SUM(J602:J604)+L613</f>
        <v>1573854.66</v>
      </c>
      <c r="I663" s="19">
        <f>SUM(F663:H663)</f>
        <v>3548055.8899999997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30574510.906736985</v>
      </c>
      <c r="G664" s="19">
        <f>G660-SUM(G661:G663)</f>
        <v>14227560.022620641</v>
      </c>
      <c r="H664" s="19">
        <f>H660-SUM(H661:H663)</f>
        <v>24849833.040642381</v>
      </c>
      <c r="I664" s="19">
        <f>I660-SUM(I661:I663)</f>
        <v>69651903.970000014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1804.62</v>
      </c>
      <c r="G665" s="248">
        <v>985.61</v>
      </c>
      <c r="H665" s="248">
        <v>1651.1</v>
      </c>
      <c r="I665" s="19">
        <f>SUM(F665:H665)</f>
        <v>4441.33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16942.349999999999</v>
      </c>
      <c r="G667" s="19">
        <f>ROUND(G664/G665,2)</f>
        <v>14435.28</v>
      </c>
      <c r="H667" s="19">
        <f>ROUND(H664/H665,2)</f>
        <v>15050.47</v>
      </c>
      <c r="I667" s="19">
        <f>ROUND(I664/I665,2)</f>
        <v>15682.67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115.94</v>
      </c>
      <c r="I670" s="19">
        <f>SUM(F670:H670)</f>
        <v>115.94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16942.349999999999</v>
      </c>
      <c r="G672" s="19">
        <f>ROUND((G664+G669)/(G665+G670),2)</f>
        <v>14435.28</v>
      </c>
      <c r="H672" s="19">
        <f>ROUND((H664+H669)/(H665+H670),2)</f>
        <v>14062.97</v>
      </c>
      <c r="I672" s="19">
        <f>ROUND((I664+I669)/(I665+I670),2)</f>
        <v>15283.69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80" fitToHeight="13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Concord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19063856.620000001</v>
      </c>
      <c r="C9" s="229">
        <f>'DOE25'!G197+'DOE25'!G215+'DOE25'!G233+'DOE25'!G276+'DOE25'!G295+'DOE25'!G314</f>
        <v>8888092.3100000005</v>
      </c>
    </row>
    <row r="10" spans="1:3" x14ac:dyDescent="0.2">
      <c r="A10" t="s">
        <v>778</v>
      </c>
      <c r="B10" s="240">
        <v>18732623.059999999</v>
      </c>
      <c r="C10" s="240">
        <f>B10/B9*C9</f>
        <v>8733662.1484574862</v>
      </c>
    </row>
    <row r="11" spans="1:3" x14ac:dyDescent="0.2">
      <c r="A11" t="s">
        <v>779</v>
      </c>
      <c r="B11" s="240"/>
      <c r="C11" s="240">
        <f>B11/B9*C9</f>
        <v>0</v>
      </c>
    </row>
    <row r="12" spans="1:3" x14ac:dyDescent="0.2">
      <c r="A12" t="s">
        <v>780</v>
      </c>
      <c r="B12" s="240">
        <f>B9-B10-B11</f>
        <v>331233.56000000238</v>
      </c>
      <c r="C12" s="240">
        <f>B12/B9*C9</f>
        <v>154430.16154251504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19063856.620000001</v>
      </c>
      <c r="C13" s="231">
        <f>SUM(C10:C12)</f>
        <v>8888092.3100000005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8588569.1800000016</v>
      </c>
      <c r="C18" s="229">
        <f>'DOE25'!G198+'DOE25'!G216+'DOE25'!G234+'DOE25'!G277+'DOE25'!G296+'DOE25'!G315</f>
        <v>3485065.6700000004</v>
      </c>
    </row>
    <row r="19" spans="1:3" x14ac:dyDescent="0.2">
      <c r="A19" t="s">
        <v>778</v>
      </c>
      <c r="B19" s="240">
        <v>4730151.17</v>
      </c>
      <c r="C19" s="240">
        <f>B19/B18*C18</f>
        <v>1919398.5762919979</v>
      </c>
    </row>
    <row r="20" spans="1:3" x14ac:dyDescent="0.2">
      <c r="A20" t="s">
        <v>779</v>
      </c>
      <c r="B20" s="240">
        <v>3374711.94</v>
      </c>
      <c r="C20" s="240">
        <f>B20/B18*C18</f>
        <v>1369389.0660647971</v>
      </c>
    </row>
    <row r="21" spans="1:3" x14ac:dyDescent="0.2">
      <c r="A21" t="s">
        <v>780</v>
      </c>
      <c r="B21" s="240">
        <f>B18-B19-B20</f>
        <v>483706.0700000017</v>
      </c>
      <c r="C21" s="240">
        <f>B21/B18*C18</f>
        <v>196278.02764320548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8588569.1800000016</v>
      </c>
      <c r="C22" s="231">
        <f>SUM(C19:C21)</f>
        <v>3485065.6700000009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972177.31</v>
      </c>
      <c r="C27" s="234">
        <f>'DOE25'!G199+'DOE25'!G217+'DOE25'!G235+'DOE25'!G278+'DOE25'!G297+'DOE25'!G316</f>
        <v>464492.29</v>
      </c>
    </row>
    <row r="28" spans="1:3" x14ac:dyDescent="0.2">
      <c r="A28" t="s">
        <v>778</v>
      </c>
      <c r="B28" s="240">
        <v>781272.17</v>
      </c>
      <c r="C28" s="240">
        <f>B28/B27*C27</f>
        <v>373280.56890832935</v>
      </c>
    </row>
    <row r="29" spans="1:3" x14ac:dyDescent="0.2">
      <c r="A29" t="s">
        <v>779</v>
      </c>
      <c r="B29" s="240">
        <v>30908.32</v>
      </c>
      <c r="C29" s="240">
        <f>B29/B27*C27</f>
        <v>14767.549282602367</v>
      </c>
    </row>
    <row r="30" spans="1:3" x14ac:dyDescent="0.2">
      <c r="A30" t="s">
        <v>780</v>
      </c>
      <c r="B30" s="240">
        <f>B27-B28-B29</f>
        <v>159996.82</v>
      </c>
      <c r="C30" s="240">
        <f>B30/B27*C27</f>
        <v>76444.171809068241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972177.31</v>
      </c>
      <c r="C31" s="231">
        <f>SUM(C28:C30)</f>
        <v>464492.29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950401.17</v>
      </c>
      <c r="C36" s="235">
        <f>'DOE25'!G200+'DOE25'!G218+'DOE25'!G236+'DOE25'!G279+'DOE25'!G298+'DOE25'!G317</f>
        <v>201911.38</v>
      </c>
    </row>
    <row r="37" spans="1:3" x14ac:dyDescent="0.2">
      <c r="A37" t="s">
        <v>778</v>
      </c>
      <c r="B37" s="240"/>
      <c r="C37" s="240">
        <f>B37/B36*C36</f>
        <v>0</v>
      </c>
    </row>
    <row r="38" spans="1:3" x14ac:dyDescent="0.2">
      <c r="A38" t="s">
        <v>779</v>
      </c>
      <c r="B38" s="240"/>
      <c r="C38" s="240">
        <f>B38/B36*C36</f>
        <v>0</v>
      </c>
    </row>
    <row r="39" spans="1:3" x14ac:dyDescent="0.2">
      <c r="A39" t="s">
        <v>780</v>
      </c>
      <c r="B39" s="240">
        <f>B36-B37-B38</f>
        <v>950401.17</v>
      </c>
      <c r="C39" s="240">
        <f>B39/B36*C36</f>
        <v>201911.38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950401.17</v>
      </c>
      <c r="C40" s="231">
        <f>SUM(C37:C39)</f>
        <v>201911.38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Concord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44593329.570000008</v>
      </c>
      <c r="D5" s="20">
        <f>SUM('DOE25'!L197:L200)+SUM('DOE25'!L215:L218)+SUM('DOE25'!L233:L236)-F5-G5</f>
        <v>44445359.620000005</v>
      </c>
      <c r="E5" s="243"/>
      <c r="F5" s="255">
        <f>SUM('DOE25'!J197:J200)+SUM('DOE25'!J215:J218)+SUM('DOE25'!J233:J236)</f>
        <v>117575.67</v>
      </c>
      <c r="G5" s="53">
        <f>SUM('DOE25'!K197:K200)+SUM('DOE25'!K215:K218)+SUM('DOE25'!K233:K236)</f>
        <v>30394.28</v>
      </c>
      <c r="H5" s="259"/>
    </row>
    <row r="6" spans="1:9" x14ac:dyDescent="0.2">
      <c r="A6" s="32">
        <v>2100</v>
      </c>
      <c r="B6" t="s">
        <v>800</v>
      </c>
      <c r="C6" s="245">
        <f t="shared" si="0"/>
        <v>5584256.9100000001</v>
      </c>
      <c r="D6" s="20">
        <f>'DOE25'!L202+'DOE25'!L220+'DOE25'!L238-F6-G6</f>
        <v>5564661.0200000005</v>
      </c>
      <c r="E6" s="243"/>
      <c r="F6" s="255">
        <f>'DOE25'!J202+'DOE25'!J220+'DOE25'!J238</f>
        <v>18653.379999999997</v>
      </c>
      <c r="G6" s="53">
        <f>'DOE25'!K202+'DOE25'!K220+'DOE25'!K238</f>
        <v>942.51</v>
      </c>
      <c r="H6" s="259"/>
    </row>
    <row r="7" spans="1:9" x14ac:dyDescent="0.2">
      <c r="A7" s="32">
        <v>2200</v>
      </c>
      <c r="B7" t="s">
        <v>833</v>
      </c>
      <c r="C7" s="245">
        <f t="shared" si="0"/>
        <v>3647193.2800000003</v>
      </c>
      <c r="D7" s="20">
        <f>'DOE25'!L203+'DOE25'!L221+'DOE25'!L239-F7-G7</f>
        <v>3603725.2100000004</v>
      </c>
      <c r="E7" s="243"/>
      <c r="F7" s="255">
        <f>'DOE25'!J203+'DOE25'!J221+'DOE25'!J239</f>
        <v>42503.07</v>
      </c>
      <c r="G7" s="53">
        <f>'DOE25'!K203+'DOE25'!K221+'DOE25'!K239</f>
        <v>965</v>
      </c>
      <c r="H7" s="259"/>
    </row>
    <row r="8" spans="1:9" x14ac:dyDescent="0.2">
      <c r="A8" s="32">
        <v>2300</v>
      </c>
      <c r="B8" t="s">
        <v>801</v>
      </c>
      <c r="C8" s="245">
        <f t="shared" si="0"/>
        <v>457414.07</v>
      </c>
      <c r="D8" s="243"/>
      <c r="E8" s="20">
        <f>'DOE25'!L204+'DOE25'!L222+'DOE25'!L240-F8-G8-D9-D11</f>
        <v>447938.6</v>
      </c>
      <c r="F8" s="255">
        <f>'DOE25'!J204+'DOE25'!J222+'DOE25'!J240</f>
        <v>299.08</v>
      </c>
      <c r="G8" s="53">
        <f>'DOE25'!K204+'DOE25'!K222+'DOE25'!K240</f>
        <v>9176.3900000000012</v>
      </c>
      <c r="H8" s="259"/>
    </row>
    <row r="9" spans="1:9" x14ac:dyDescent="0.2">
      <c r="A9" s="32">
        <v>2310</v>
      </c>
      <c r="B9" t="s">
        <v>817</v>
      </c>
      <c r="C9" s="245">
        <f t="shared" si="0"/>
        <v>18960.5</v>
      </c>
      <c r="D9" s="244">
        <v>18960.5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40000</v>
      </c>
      <c r="D10" s="243"/>
      <c r="E10" s="244">
        <v>40000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534363.05000000005</v>
      </c>
      <c r="D11" s="244">
        <f>53374+128266+45002.93+144840+28296.54+49240.96+33880.5+51462.12</f>
        <v>534363.05000000005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3636152.8099999996</v>
      </c>
      <c r="D12" s="20">
        <f>'DOE25'!L205+'DOE25'!L223+'DOE25'!L241-F12-G12</f>
        <v>3609994.3499999996</v>
      </c>
      <c r="E12" s="243"/>
      <c r="F12" s="255">
        <f>'DOE25'!J205+'DOE25'!J223+'DOE25'!J241</f>
        <v>2500</v>
      </c>
      <c r="G12" s="53">
        <f>'DOE25'!K205+'DOE25'!K223+'DOE25'!K241</f>
        <v>23658.46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654581.75</v>
      </c>
      <c r="D13" s="243"/>
      <c r="E13" s="20">
        <f>'DOE25'!L206+'DOE25'!L224+'DOE25'!L242-F13-G13</f>
        <v>651849.15</v>
      </c>
      <c r="F13" s="255">
        <f>'DOE25'!J206+'DOE25'!J224+'DOE25'!J242</f>
        <v>0</v>
      </c>
      <c r="G13" s="53">
        <f>'DOE25'!K206+'DOE25'!K224+'DOE25'!K242</f>
        <v>2732.6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6756155.21</v>
      </c>
      <c r="D14" s="20">
        <f>'DOE25'!L207+'DOE25'!L225+'DOE25'!L243-F14-G14</f>
        <v>6681005.7000000002</v>
      </c>
      <c r="E14" s="243"/>
      <c r="F14" s="255">
        <f>'DOE25'!J207+'DOE25'!J225+'DOE25'!J243</f>
        <v>74527.509999999995</v>
      </c>
      <c r="G14" s="53">
        <f>'DOE25'!K207+'DOE25'!K225+'DOE25'!K243</f>
        <v>622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3188539</v>
      </c>
      <c r="D15" s="20">
        <f>'DOE25'!L208+'DOE25'!L226+'DOE25'!L244-F15-G15</f>
        <v>3156985.0300000003</v>
      </c>
      <c r="E15" s="243"/>
      <c r="F15" s="255">
        <f>'DOE25'!J208+'DOE25'!J226+'DOE25'!J244</f>
        <v>29222.880000000001</v>
      </c>
      <c r="G15" s="53">
        <f>'DOE25'!K208+'DOE25'!K226+'DOE25'!K244</f>
        <v>2331.09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535377.91000000015</v>
      </c>
      <c r="D16" s="243"/>
      <c r="E16" s="20">
        <f>'DOE25'!L209+'DOE25'!L227+'DOE25'!L245-F16-G16</f>
        <v>535377.91000000015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330523.67</v>
      </c>
      <c r="D17" s="20">
        <f>'DOE25'!L251-F17-G17</f>
        <v>325964.78999999998</v>
      </c>
      <c r="E17" s="243"/>
      <c r="F17" s="255">
        <f>'DOE25'!J251</f>
        <v>0</v>
      </c>
      <c r="G17" s="53">
        <f>'DOE25'!K251</f>
        <v>4558.88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268557.19999999995</v>
      </c>
      <c r="D22" s="243"/>
      <c r="E22" s="243"/>
      <c r="F22" s="255">
        <f>'DOE25'!L255+'DOE25'!L336</f>
        <v>268557.19999999995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5041840.7</v>
      </c>
      <c r="D25" s="243"/>
      <c r="E25" s="243"/>
      <c r="F25" s="258"/>
      <c r="G25" s="256"/>
      <c r="H25" s="257">
        <f>'DOE25'!L260+'DOE25'!L261+'DOE25'!L341+'DOE25'!L342</f>
        <v>5041840.7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926370.1100000001</v>
      </c>
      <c r="D29" s="20">
        <f>'DOE25'!L358+'DOE25'!L359+'DOE25'!L360-'DOE25'!I367-F29-G29</f>
        <v>906444.43</v>
      </c>
      <c r="E29" s="243"/>
      <c r="F29" s="255">
        <f>'DOE25'!J358+'DOE25'!J359+'DOE25'!J360</f>
        <v>3815.63</v>
      </c>
      <c r="G29" s="53">
        <f>'DOE25'!K358+'DOE25'!K359+'DOE25'!K360</f>
        <v>16110.05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5909195.1599999992</v>
      </c>
      <c r="D31" s="20">
        <f>'DOE25'!L290+'DOE25'!L309+'DOE25'!L328+'DOE25'!L333+'DOE25'!L334+'DOE25'!L335-F31-G31</f>
        <v>4766914.3</v>
      </c>
      <c r="E31" s="243"/>
      <c r="F31" s="255">
        <f>'DOE25'!J290+'DOE25'!J309+'DOE25'!J328+'DOE25'!J333+'DOE25'!J334+'DOE25'!J335</f>
        <v>1130198.8999999999</v>
      </c>
      <c r="G31" s="53">
        <f>'DOE25'!K290+'DOE25'!K309+'DOE25'!K328+'DOE25'!K333+'DOE25'!K334+'DOE25'!K335</f>
        <v>12081.96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73614378.000000015</v>
      </c>
      <c r="E33" s="246">
        <f>SUM(E5:E31)</f>
        <v>1675165.6600000001</v>
      </c>
      <c r="F33" s="246">
        <f>SUM(F5:F31)</f>
        <v>1687853.3199999998</v>
      </c>
      <c r="G33" s="246">
        <f>SUM(G5:G31)</f>
        <v>103573.22</v>
      </c>
      <c r="H33" s="246">
        <f>SUM(H5:H31)</f>
        <v>5041840.7</v>
      </c>
    </row>
    <row r="35" spans="2:8" ht="12" thickBot="1" x14ac:dyDescent="0.25">
      <c r="B35" s="253" t="s">
        <v>846</v>
      </c>
      <c r="D35" s="254">
        <f>E33</f>
        <v>1675165.6600000001</v>
      </c>
      <c r="E35" s="249"/>
    </row>
    <row r="36" spans="2:8" ht="12" thickTop="1" x14ac:dyDescent="0.2">
      <c r="B36" t="s">
        <v>814</v>
      </c>
      <c r="D36" s="20">
        <f>D33</f>
        <v>73614378.000000015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Concord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587406.68000000005</v>
      </c>
      <c r="D8" s="95">
        <f>'DOE25'!G9</f>
        <v>222562.4</v>
      </c>
      <c r="E8" s="95">
        <f>'DOE25'!H9</f>
        <v>-200340.99</v>
      </c>
      <c r="F8" s="95">
        <f>'DOE25'!I9</f>
        <v>191166.04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8370990.1500000004</v>
      </c>
      <c r="G9" s="95">
        <f>'DOE25'!J10</f>
        <v>5812228.3499999996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107484555.16</v>
      </c>
      <c r="D11" s="95">
        <f>'DOE25'!G12</f>
        <v>6881824.0099999998</v>
      </c>
      <c r="E11" s="95">
        <f>'DOE25'!H12</f>
        <v>36215768.409999996</v>
      </c>
      <c r="F11" s="95">
        <f>'DOE25'!I12</f>
        <v>64908514.369999997</v>
      </c>
      <c r="G11" s="95">
        <f>'DOE25'!J12</f>
        <v>-1703884.8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925409.94</v>
      </c>
      <c r="D13" s="95">
        <f>'DOE25'!G14</f>
        <v>72711.19</v>
      </c>
      <c r="E13" s="95">
        <f>'DOE25'!H14</f>
        <v>1040190.99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4785</v>
      </c>
      <c r="D15" s="95">
        <f>'DOE25'!G16</f>
        <v>57567.13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10000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101300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109113456.78</v>
      </c>
      <c r="D18" s="41">
        <f>SUM(D8:D17)</f>
        <v>7234664.7300000004</v>
      </c>
      <c r="E18" s="41">
        <f>SUM(E8:E17)</f>
        <v>37055618.409999996</v>
      </c>
      <c r="F18" s="41">
        <f>SUM(F8:F17)</f>
        <v>73470670.560000002</v>
      </c>
      <c r="G18" s="41">
        <f>SUM(G8:G17)</f>
        <v>4108343.55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106588706.15000001</v>
      </c>
      <c r="D21" s="95">
        <f>'DOE25'!G22</f>
        <v>7181909.0800000001</v>
      </c>
      <c r="E21" s="95">
        <f>'DOE25'!H22</f>
        <v>36671934.200000003</v>
      </c>
      <c r="F21" s="95">
        <f>'DOE25'!I22</f>
        <v>65147353.909999996</v>
      </c>
      <c r="G21" s="95">
        <f>'DOE25'!J22</f>
        <v>-1805077.1600000001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80632.13</v>
      </c>
      <c r="D27" s="95">
        <f>'DOE25'!G28</f>
        <v>0</v>
      </c>
      <c r="E27" s="95">
        <f>'DOE25'!H28</f>
        <v>460.56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230445.81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16346</v>
      </c>
      <c r="D29" s="95">
        <f>'DOE25'!G30</f>
        <v>31531.13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106916130.09</v>
      </c>
      <c r="D31" s="41">
        <f>SUM(D21:D30)</f>
        <v>7213440.21</v>
      </c>
      <c r="E31" s="41">
        <f>SUM(E21:E30)</f>
        <v>36672394.760000005</v>
      </c>
      <c r="F31" s="41">
        <f>SUM(F21:F30)</f>
        <v>65147353.909999996</v>
      </c>
      <c r="G31" s="41">
        <f>SUM(G21:G30)</f>
        <v>-1805077.1600000001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770981.2</v>
      </c>
      <c r="D44" s="95">
        <f>'DOE25'!G45</f>
        <v>4926.51</v>
      </c>
      <c r="E44" s="95">
        <f>'DOE25'!H45</f>
        <v>320058.31</v>
      </c>
      <c r="F44" s="95">
        <f>'DOE25'!I45</f>
        <v>4225543.8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14785.14</v>
      </c>
      <c r="D47" s="95">
        <f>'DOE25'!G48</f>
        <v>16298.01</v>
      </c>
      <c r="E47" s="95">
        <f>'DOE25'!H48</f>
        <v>63165.340000000084</v>
      </c>
      <c r="F47" s="95">
        <f>'DOE25'!I48</f>
        <v>4097772.8500000047</v>
      </c>
      <c r="G47" s="95">
        <f>'DOE25'!J48</f>
        <v>5913420.7100000009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1411560.35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2197326.69</v>
      </c>
      <c r="D50" s="41">
        <f>SUM(D34:D49)</f>
        <v>21224.52</v>
      </c>
      <c r="E50" s="41">
        <f>SUM(E34:E49)</f>
        <v>383223.65000000008</v>
      </c>
      <c r="F50" s="41">
        <f>SUM(F34:F49)</f>
        <v>8323316.6500000041</v>
      </c>
      <c r="G50" s="41">
        <f>SUM(G34:G49)</f>
        <v>5913420.7100000009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109113456.78</v>
      </c>
      <c r="D51" s="41">
        <f>D50+D31</f>
        <v>7234664.7299999995</v>
      </c>
      <c r="E51" s="41">
        <f>E50+E31</f>
        <v>37055618.410000004</v>
      </c>
      <c r="F51" s="41">
        <f>F50+F31</f>
        <v>73470670.560000002</v>
      </c>
      <c r="G51" s="41">
        <f>G50+G31</f>
        <v>4108343.5500000007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45318824.119999997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3219425.26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213373.1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20747.39</v>
      </c>
      <c r="D59" s="95">
        <f>'DOE25'!G96</f>
        <v>15.67</v>
      </c>
      <c r="E59" s="95">
        <f>'DOE25'!H96</f>
        <v>357.39</v>
      </c>
      <c r="F59" s="95">
        <f>'DOE25'!I96</f>
        <v>283.3</v>
      </c>
      <c r="G59" s="95">
        <f>'DOE25'!J96</f>
        <v>13190.57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585381.57000000007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405052.46</v>
      </c>
      <c r="D61" s="95">
        <f>SUM('DOE25'!G98:G110)</f>
        <v>9934.92</v>
      </c>
      <c r="E61" s="95">
        <f>SUM('DOE25'!H98:H110)</f>
        <v>288715.52000000002</v>
      </c>
      <c r="F61" s="95">
        <f>SUM('DOE25'!I98:I110)</f>
        <v>0</v>
      </c>
      <c r="G61" s="95">
        <f>SUM('DOE25'!J98:J110)</f>
        <v>17755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3858598.21</v>
      </c>
      <c r="D62" s="130">
        <f>SUM(D57:D61)</f>
        <v>595332.16000000015</v>
      </c>
      <c r="E62" s="130">
        <f>SUM(E57:E61)</f>
        <v>289072.91000000003</v>
      </c>
      <c r="F62" s="130">
        <f>SUM(F57:F61)</f>
        <v>283.3</v>
      </c>
      <c r="G62" s="130">
        <f>SUM(G57:G61)</f>
        <v>30945.57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49177422.329999998</v>
      </c>
      <c r="D63" s="22">
        <f>D56+D62</f>
        <v>595332.16000000015</v>
      </c>
      <c r="E63" s="22">
        <f>E56+E62</f>
        <v>289072.91000000003</v>
      </c>
      <c r="F63" s="22">
        <f>F56+F62</f>
        <v>283.3</v>
      </c>
      <c r="G63" s="22">
        <f>G56+G62</f>
        <v>30945.57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13122600.73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8217040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25998.22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21365638.949999999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1097173.93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376697.55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1159416.48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21868.3</v>
      </c>
      <c r="E77" s="95">
        <f>SUM('DOE25'!H131:H135)</f>
        <v>279161.95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2633287.96</v>
      </c>
      <c r="D78" s="130">
        <f>SUM(D72:D77)</f>
        <v>21868.3</v>
      </c>
      <c r="E78" s="130">
        <f>SUM(E72:E77)</f>
        <v>279161.95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23998926.91</v>
      </c>
      <c r="D81" s="130">
        <f>SUM(D79:D80)+D78+D70</f>
        <v>21868.3</v>
      </c>
      <c r="E81" s="130">
        <f>SUM(E79:E80)+E78+E70</f>
        <v>279161.95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839832.2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1446607.28</v>
      </c>
      <c r="D88" s="95">
        <f>SUM('DOE25'!G153:G161)</f>
        <v>1059284.32</v>
      </c>
      <c r="E88" s="95">
        <f>SUM('DOE25'!H153:H161)</f>
        <v>4476182.33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2286439.48</v>
      </c>
      <c r="D91" s="131">
        <f>SUM(D85:D90)</f>
        <v>1059284.32</v>
      </c>
      <c r="E91" s="131">
        <f>SUM(E85:E90)</f>
        <v>4476182.33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12086812.25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90000</v>
      </c>
      <c r="E96" s="95">
        <f>'DOE25'!H179</f>
        <v>0</v>
      </c>
      <c r="F96" s="95">
        <f>'DOE25'!I179</f>
        <v>0</v>
      </c>
      <c r="G96" s="95">
        <f>'DOE25'!J179</f>
        <v>1111161.04</v>
      </c>
    </row>
    <row r="97" spans="1:7" x14ac:dyDescent="0.2">
      <c r="A97" t="s">
        <v>757</v>
      </c>
      <c r="B97" s="32" t="s">
        <v>188</v>
      </c>
      <c r="C97" s="95">
        <f>SUM('DOE25'!F180:F181)</f>
        <v>66471.66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62914.02</v>
      </c>
      <c r="D100" s="95">
        <f>SUM('DOE25'!G186:G187)</f>
        <v>0</v>
      </c>
      <c r="E100" s="95">
        <f>SUM('DOE25'!H186:H187)</f>
        <v>0</v>
      </c>
      <c r="F100" s="95">
        <f>SUM('DOE25'!I186:I187)</f>
        <v>123424.95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129385.68</v>
      </c>
      <c r="D103" s="86">
        <f>SUM(D93:D102)</f>
        <v>90000</v>
      </c>
      <c r="E103" s="86">
        <f>SUM(E93:E102)</f>
        <v>0</v>
      </c>
      <c r="F103" s="86">
        <f>SUM(F93:F102)</f>
        <v>12210237.199999999</v>
      </c>
      <c r="G103" s="86">
        <f>SUM(G93:G102)</f>
        <v>1111161.04</v>
      </c>
    </row>
    <row r="104" spans="1:7" ht="12.75" thickTop="1" thickBot="1" x14ac:dyDescent="0.25">
      <c r="A104" s="33" t="s">
        <v>764</v>
      </c>
      <c r="C104" s="86">
        <f>C63+C81+C91+C103</f>
        <v>75592174.400000006</v>
      </c>
      <c r="D104" s="86">
        <f>D63+D81+D91+D103</f>
        <v>1766484.7800000003</v>
      </c>
      <c r="E104" s="86">
        <f>E63+E81+E91+E103</f>
        <v>5044417.1900000004</v>
      </c>
      <c r="F104" s="86">
        <f>F63+F81+F91+F103</f>
        <v>12210520.5</v>
      </c>
      <c r="G104" s="86">
        <f>G63+G81+G103</f>
        <v>1142106.6100000001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28350735.609999999</v>
      </c>
      <c r="D109" s="24" t="s">
        <v>288</v>
      </c>
      <c r="E109" s="95">
        <f>('DOE25'!L276)+('DOE25'!L295)+('DOE25'!L314)</f>
        <v>871760.38000000012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13898490.899999999</v>
      </c>
      <c r="D110" s="24" t="s">
        <v>288</v>
      </c>
      <c r="E110" s="95">
        <f>('DOE25'!L277)+('DOE25'!L296)+('DOE25'!L315)</f>
        <v>1216269.54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1365839.87</v>
      </c>
      <c r="D111" s="24" t="s">
        <v>288</v>
      </c>
      <c r="E111" s="95">
        <f>('DOE25'!L278)+('DOE25'!L297)+('DOE25'!L316)</f>
        <v>278308.58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978263.18999999983</v>
      </c>
      <c r="D112" s="24" t="s">
        <v>288</v>
      </c>
      <c r="E112" s="95">
        <f>+('DOE25'!L279)+('DOE25'!L298)+('DOE25'!L317)</f>
        <v>437890.15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330523.67</v>
      </c>
      <c r="D114" s="24" t="s">
        <v>288</v>
      </c>
      <c r="E114" s="95">
        <f>+ SUM('DOE25'!L333:L335)</f>
        <v>198527.51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44923853.239999995</v>
      </c>
      <c r="D115" s="86">
        <f>SUM(D109:D114)</f>
        <v>0</v>
      </c>
      <c r="E115" s="86">
        <f>SUM(E109:E114)</f>
        <v>3002756.16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5584256.9100000001</v>
      </c>
      <c r="D118" s="24" t="s">
        <v>288</v>
      </c>
      <c r="E118" s="95">
        <f>+('DOE25'!L281)+('DOE25'!L300)+('DOE25'!L319)</f>
        <v>311081.15000000002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3647193.2800000003</v>
      </c>
      <c r="D119" s="24" t="s">
        <v>288</v>
      </c>
      <c r="E119" s="95">
        <f>+('DOE25'!L282)+('DOE25'!L301)+('DOE25'!L320)</f>
        <v>1897915.77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1010737.62</v>
      </c>
      <c r="D120" s="24" t="s">
        <v>288</v>
      </c>
      <c r="E120" s="95">
        <f>+('DOE25'!L283)+('DOE25'!L302)+('DOE25'!L321)</f>
        <v>564992.59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3636152.8099999996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654581.75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6756155.21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3188539</v>
      </c>
      <c r="D124" s="24" t="s">
        <v>288</v>
      </c>
      <c r="E124" s="95">
        <f>+('DOE25'!L287)+('DOE25'!L306)+('DOE25'!L325)</f>
        <v>132449.49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535377.91000000015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1770050.25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25012994.490000002</v>
      </c>
      <c r="D128" s="86">
        <f>SUM(D118:D127)</f>
        <v>1770050.25</v>
      </c>
      <c r="E128" s="86">
        <f>SUM(E118:E127)</f>
        <v>2906439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268557.19999999995</v>
      </c>
      <c r="D130" s="24" t="s">
        <v>288</v>
      </c>
      <c r="E130" s="129">
        <f>'DOE25'!L336</f>
        <v>0</v>
      </c>
      <c r="F130" s="129">
        <f>SUM('DOE25'!L374:'DOE25'!L380)</f>
        <v>3911020.4099999997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2321585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2720255.7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66471.66</v>
      </c>
      <c r="F134" s="95">
        <f>'DOE25'!K381</f>
        <v>0</v>
      </c>
      <c r="G134" s="95">
        <f>'DOE25'!K434</f>
        <v>186338.97</v>
      </c>
    </row>
    <row r="135" spans="1:7" x14ac:dyDescent="0.2">
      <c r="A135" t="s">
        <v>233</v>
      </c>
      <c r="B135" s="32" t="s">
        <v>234</v>
      </c>
      <c r="C135" s="95">
        <f>'DOE25'!L263</f>
        <v>90000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1142106.6100000001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-30945.570000000065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60703.75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6572262.6900000004</v>
      </c>
      <c r="D144" s="141">
        <f>SUM(D130:D143)</f>
        <v>0</v>
      </c>
      <c r="E144" s="141">
        <f>SUM(E130:E143)</f>
        <v>66471.66</v>
      </c>
      <c r="F144" s="141">
        <f>SUM(F130:F143)</f>
        <v>3911020.4099999997</v>
      </c>
      <c r="G144" s="141">
        <f>SUM(G130:G143)</f>
        <v>186338.97</v>
      </c>
    </row>
    <row r="145" spans="1:9" ht="12.75" thickTop="1" thickBot="1" x14ac:dyDescent="0.25">
      <c r="A145" s="33" t="s">
        <v>244</v>
      </c>
      <c r="C145" s="86">
        <f>(C115+C128+C144)</f>
        <v>76509110.419999987</v>
      </c>
      <c r="D145" s="86">
        <f>(D115+D128+D144)</f>
        <v>1770050.25</v>
      </c>
      <c r="E145" s="86">
        <f>(E115+E128+E144)</f>
        <v>5975666.8200000003</v>
      </c>
      <c r="F145" s="86">
        <f>(F115+F128+F144)</f>
        <v>3911020.4099999997</v>
      </c>
      <c r="G145" s="86">
        <f>(G115+G128+G144)</f>
        <v>186338.97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11/91 - 12/10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04/40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33198041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 t="str">
        <f>'DOE25'!F494</f>
        <v>See attached page for details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49976585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49976585</v>
      </c>
    </row>
    <row r="157" spans="1:9" x14ac:dyDescent="0.2">
      <c r="A157" s="22" t="s">
        <v>33</v>
      </c>
      <c r="B157" s="137">
        <f>'DOE25'!F496</f>
        <v>11360000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11360000</v>
      </c>
    </row>
    <row r="158" spans="1:9" x14ac:dyDescent="0.2">
      <c r="A158" s="22" t="s">
        <v>34</v>
      </c>
      <c r="B158" s="137">
        <f>'DOE25'!F497</f>
        <v>2321585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2321585</v>
      </c>
    </row>
    <row r="159" spans="1:9" x14ac:dyDescent="0.2">
      <c r="A159" s="22" t="s">
        <v>35</v>
      </c>
      <c r="B159" s="137">
        <f>'DOE25'!F498</f>
        <v>59015000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59015000</v>
      </c>
    </row>
    <row r="160" spans="1:9" x14ac:dyDescent="0.2">
      <c r="A160" s="22" t="s">
        <v>36</v>
      </c>
      <c r="B160" s="137">
        <f>'DOE25'!F499</f>
        <v>20539192.489999998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20539192.489999998</v>
      </c>
    </row>
    <row r="161" spans="1:7" x14ac:dyDescent="0.2">
      <c r="A161" s="22" t="s">
        <v>37</v>
      </c>
      <c r="B161" s="137">
        <f>'DOE25'!F500</f>
        <v>79554192.489999995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79554192.489999995</v>
      </c>
    </row>
    <row r="162" spans="1:7" x14ac:dyDescent="0.2">
      <c r="A162" s="22" t="s">
        <v>38</v>
      </c>
      <c r="B162" s="137">
        <f>'DOE25'!F501</f>
        <v>2965000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2965000</v>
      </c>
    </row>
    <row r="163" spans="1:7" x14ac:dyDescent="0.2">
      <c r="A163" s="22" t="s">
        <v>39</v>
      </c>
      <c r="B163" s="137">
        <f>'DOE25'!F502</f>
        <v>2135049.4300000002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2135049.4300000002</v>
      </c>
    </row>
    <row r="164" spans="1:7" x14ac:dyDescent="0.2">
      <c r="A164" s="22" t="s">
        <v>246</v>
      </c>
      <c r="B164" s="137">
        <f>'DOE25'!F503</f>
        <v>5100049.43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5100049.43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85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Concord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16942</v>
      </c>
    </row>
    <row r="5" spans="1:4" x14ac:dyDescent="0.2">
      <c r="B5" t="s">
        <v>703</v>
      </c>
      <c r="C5" s="179">
        <f>IF('DOE25'!G665+'DOE25'!G670=0,0,ROUND('DOE25'!G672,0))</f>
        <v>14435</v>
      </c>
    </row>
    <row r="6" spans="1:4" x14ac:dyDescent="0.2">
      <c r="B6" t="s">
        <v>62</v>
      </c>
      <c r="C6" s="179">
        <f>IF('DOE25'!H665+'DOE25'!H670=0,0,ROUND('DOE25'!H672,0))</f>
        <v>14063</v>
      </c>
    </row>
    <row r="7" spans="1:4" x14ac:dyDescent="0.2">
      <c r="B7" t="s">
        <v>704</v>
      </c>
      <c r="C7" s="179">
        <f>IF('DOE25'!I665+'DOE25'!I670=0,0,ROUND('DOE25'!I672,0))</f>
        <v>15284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29222496</v>
      </c>
      <c r="D10" s="182">
        <f>ROUND((C10/$C$28)*100,1)</f>
        <v>36.6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15114760</v>
      </c>
      <c r="D11" s="182">
        <f>ROUND((C11/$C$28)*100,1)</f>
        <v>18.899999999999999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1644148</v>
      </c>
      <c r="D12" s="182">
        <f>ROUND((C12/$C$28)*100,1)</f>
        <v>2.1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1416153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5895338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5545109</v>
      </c>
      <c r="D16" s="182">
        <f t="shared" si="0"/>
        <v>6.9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2111108</v>
      </c>
      <c r="D17" s="182">
        <f t="shared" si="0"/>
        <v>2.6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3636153</v>
      </c>
      <c r="D18" s="182">
        <f t="shared" si="0"/>
        <v>4.5999999999999996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654582</v>
      </c>
      <c r="D19" s="182">
        <f t="shared" si="0"/>
        <v>0.8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6756155</v>
      </c>
      <c r="D20" s="182">
        <f t="shared" si="0"/>
        <v>8.5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3320988</v>
      </c>
      <c r="D21" s="182">
        <f t="shared" si="0"/>
        <v>4.2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529051</v>
      </c>
      <c r="D24" s="182">
        <f t="shared" si="0"/>
        <v>0.7</v>
      </c>
    </row>
    <row r="25" spans="1:4" x14ac:dyDescent="0.2">
      <c r="A25">
        <v>5120</v>
      </c>
      <c r="B25" t="s">
        <v>719</v>
      </c>
      <c r="C25" s="179">
        <f>ROUND('DOE25'!L261+'DOE25'!L342,0)</f>
        <v>2720256</v>
      </c>
      <c r="D25" s="182">
        <f t="shared" si="0"/>
        <v>3.4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60703.75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1174733.5099999998</v>
      </c>
      <c r="D27" s="182">
        <f t="shared" si="0"/>
        <v>1.5</v>
      </c>
    </row>
    <row r="28" spans="1:4" x14ac:dyDescent="0.2">
      <c r="B28" s="187" t="s">
        <v>722</v>
      </c>
      <c r="C28" s="180">
        <f>SUM(C10:C27)</f>
        <v>79801734.260000005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4179578</v>
      </c>
    </row>
    <row r="30" spans="1:4" x14ac:dyDescent="0.2">
      <c r="B30" s="187" t="s">
        <v>728</v>
      </c>
      <c r="C30" s="180">
        <f>SUM(C28:C29)</f>
        <v>83981312.260000005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2321585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45318824</v>
      </c>
      <c r="D35" s="182">
        <f t="shared" ref="D35:D40" si="1">ROUND((C35/$C$41)*100,1)</f>
        <v>55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4905728.0299999863</v>
      </c>
      <c r="D36" s="182">
        <f t="shared" si="1"/>
        <v>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21339641</v>
      </c>
      <c r="D37" s="182">
        <f t="shared" si="1"/>
        <v>25.9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2960316</v>
      </c>
      <c r="D38" s="182">
        <f t="shared" si="1"/>
        <v>3.6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7821906</v>
      </c>
      <c r="D39" s="182">
        <f t="shared" si="1"/>
        <v>9.5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82346415.029999986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11360000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Concord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2017-09-06T17:37:45Z</cp:lastPrinted>
  <dcterms:created xsi:type="dcterms:W3CDTF">1997-12-04T19:04:30Z</dcterms:created>
  <dcterms:modified xsi:type="dcterms:W3CDTF">2017-11-29T17:13:22Z</dcterms:modified>
</cp:coreProperties>
</file>