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AB0A" lockStructure="1"/>
  <bookViews>
    <workbookView xWindow="0" yWindow="0" windowWidth="20490" windowHeight="76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10" i="12" l="1"/>
  <c r="H523" i="1" l="1"/>
  <c r="H522" i="1"/>
  <c r="H521" i="1"/>
  <c r="F473" i="1" l="1"/>
  <c r="J465" i="1"/>
  <c r="H244" i="1"/>
  <c r="I594" i="1"/>
  <c r="F465" i="1" l="1"/>
  <c r="H234" i="1"/>
  <c r="H226" i="1" l="1"/>
  <c r="H538" i="1"/>
  <c r="H537" i="1"/>
  <c r="H536" i="1"/>
  <c r="H48" i="1"/>
  <c r="H208" i="1" l="1"/>
  <c r="C19" i="12"/>
  <c r="F215" i="1"/>
  <c r="B20" i="12"/>
  <c r="H595" i="1" l="1"/>
  <c r="F523" i="1"/>
  <c r="G523" i="1" s="1"/>
  <c r="F522" i="1"/>
  <c r="J522" i="1"/>
  <c r="I521" i="1"/>
  <c r="I522" i="1"/>
  <c r="F521" i="1"/>
  <c r="G522" i="1"/>
  <c r="K528" i="1"/>
  <c r="K527" i="1"/>
  <c r="K526" i="1"/>
  <c r="I526" i="1"/>
  <c r="I528" i="1"/>
  <c r="I527" i="1"/>
  <c r="F528" i="1"/>
  <c r="G531" i="1"/>
  <c r="H543" i="1"/>
  <c r="H542" i="1"/>
  <c r="H541" i="1"/>
  <c r="F527" i="1"/>
  <c r="F526" i="1"/>
  <c r="F531" i="1"/>
  <c r="G521" i="1" l="1"/>
  <c r="D11" i="13"/>
  <c r="F127" i="1" l="1"/>
  <c r="F117" i="1"/>
  <c r="H465" i="1" l="1"/>
  <c r="H468" i="1"/>
  <c r="G465" i="1" l="1"/>
  <c r="H360" i="1"/>
  <c r="H359" i="1"/>
  <c r="H358" i="1"/>
  <c r="H583" i="1"/>
  <c r="G582" i="1"/>
  <c r="I564" i="1"/>
  <c r="I563" i="1"/>
  <c r="I562" i="1"/>
  <c r="H562" i="1"/>
  <c r="F564" i="1"/>
  <c r="F563" i="1"/>
  <c r="F562" i="1"/>
  <c r="G440" i="1" l="1"/>
  <c r="F440" i="1"/>
  <c r="H400" i="1"/>
  <c r="G400" i="1"/>
  <c r="I595" i="1" l="1"/>
  <c r="J592" i="1"/>
  <c r="I592" i="1"/>
  <c r="H592" i="1"/>
  <c r="J591" i="1"/>
  <c r="I591" i="1"/>
  <c r="H591" i="1"/>
  <c r="G532" i="1" l="1"/>
  <c r="G533" i="1"/>
  <c r="F533" i="1"/>
  <c r="F532" i="1"/>
  <c r="F502" i="1"/>
  <c r="F498" i="1" l="1"/>
  <c r="H216" i="1" l="1"/>
  <c r="H203" i="1"/>
  <c r="H198" i="1"/>
  <c r="J360" i="1" l="1"/>
  <c r="J359" i="1"/>
  <c r="J358" i="1"/>
  <c r="G9" i="1" l="1"/>
  <c r="G215" i="1" l="1"/>
  <c r="F233" i="1"/>
  <c r="G233" i="1" s="1"/>
  <c r="G197" i="1"/>
  <c r="F221" i="1"/>
  <c r="F203" i="1"/>
  <c r="F243" i="1"/>
  <c r="F225" i="1"/>
  <c r="F207" i="1"/>
  <c r="F240" i="1"/>
  <c r="G240" i="1" s="1"/>
  <c r="F222" i="1"/>
  <c r="G222" i="1" s="1"/>
  <c r="F204" i="1"/>
  <c r="G204" i="1"/>
  <c r="J234" i="1"/>
  <c r="J198" i="1"/>
  <c r="I240" i="1" l="1"/>
  <c r="I222" i="1"/>
  <c r="I204" i="1"/>
  <c r="K204" i="1"/>
  <c r="K222" i="1"/>
  <c r="K240" i="1"/>
  <c r="J239" i="1"/>
  <c r="J238" i="1"/>
  <c r="J220" i="1"/>
  <c r="J202" i="1"/>
  <c r="H197" i="1"/>
  <c r="H215" i="1"/>
  <c r="H233" i="1"/>
  <c r="I239" i="1"/>
  <c r="H239" i="1"/>
  <c r="I221" i="1"/>
  <c r="H221" i="1"/>
  <c r="J203" i="1"/>
  <c r="H222" i="1"/>
  <c r="H204" i="1"/>
  <c r="H207" i="1"/>
  <c r="H205" i="1"/>
  <c r="H241" i="1"/>
  <c r="H223" i="1"/>
  <c r="H243" i="1"/>
  <c r="H225" i="1"/>
  <c r="H240" i="1"/>
  <c r="G243" i="1"/>
  <c r="G225" i="1"/>
  <c r="G221" i="1"/>
  <c r="G218" i="1"/>
  <c r="G203" i="1"/>
  <c r="F69" i="1"/>
  <c r="I243" i="1" l="1"/>
  <c r="K241" i="1"/>
  <c r="I241" i="1"/>
  <c r="F241" i="1"/>
  <c r="G241" i="1" s="1"/>
  <c r="F239" i="1"/>
  <c r="G239" i="1" s="1"/>
  <c r="I238" i="1"/>
  <c r="F238" i="1"/>
  <c r="G238" i="1" s="1"/>
  <c r="H238" i="1"/>
  <c r="K236" i="1"/>
  <c r="J236" i="1"/>
  <c r="H236" i="1"/>
  <c r="F236" i="1"/>
  <c r="G236" i="1" s="1"/>
  <c r="I235" i="1"/>
  <c r="F235" i="1"/>
  <c r="G235" i="1" s="1"/>
  <c r="J235" i="1"/>
  <c r="H235" i="1"/>
  <c r="I234" i="1"/>
  <c r="F234" i="1"/>
  <c r="G234" i="1" s="1"/>
  <c r="J233" i="1"/>
  <c r="I233" i="1"/>
  <c r="I225" i="1"/>
  <c r="K223" i="1"/>
  <c r="I223" i="1"/>
  <c r="F223" i="1"/>
  <c r="G223" i="1" s="1"/>
  <c r="J221" i="1"/>
  <c r="I220" i="1"/>
  <c r="F220" i="1"/>
  <c r="G220" i="1" s="1"/>
  <c r="J218" i="1"/>
  <c r="H218" i="1"/>
  <c r="I217" i="1"/>
  <c r="H217" i="1"/>
  <c r="F217" i="1"/>
  <c r="G217" i="1" s="1"/>
  <c r="J216" i="1"/>
  <c r="I216" i="1"/>
  <c r="F216" i="1"/>
  <c r="G216" i="1" s="1"/>
  <c r="J215" i="1"/>
  <c r="I215" i="1"/>
  <c r="K205" i="1"/>
  <c r="I203" i="1"/>
  <c r="I198" i="1"/>
  <c r="I197" i="1"/>
  <c r="I205" i="1"/>
  <c r="I202" i="1"/>
  <c r="I207" i="1"/>
  <c r="I200" i="1"/>
  <c r="H202" i="1"/>
  <c r="F205" i="1"/>
  <c r="G205" i="1" s="1"/>
  <c r="F198" i="1"/>
  <c r="G198" i="1" s="1"/>
  <c r="F202" i="1"/>
  <c r="G202" i="1" s="1"/>
  <c r="H320" i="1" l="1"/>
  <c r="H282" i="1"/>
  <c r="H301" i="1"/>
  <c r="G296" i="1"/>
  <c r="F296" i="1"/>
  <c r="H277" i="1"/>
  <c r="G277" i="1"/>
  <c r="F277" i="1"/>
  <c r="J316" i="1"/>
  <c r="I316" i="1"/>
  <c r="H316" i="1"/>
  <c r="F320" i="1"/>
  <c r="F300" i="1"/>
  <c r="F282" i="1"/>
  <c r="G333" i="1"/>
  <c r="H281" i="1"/>
  <c r="I276" i="1"/>
  <c r="H276" i="1"/>
  <c r="G276" i="1"/>
  <c r="F276" i="1"/>
  <c r="H300" i="1"/>
  <c r="H287" i="1"/>
  <c r="G284" i="1"/>
  <c r="F284" i="1"/>
  <c r="J281" i="1"/>
  <c r="I281" i="1"/>
  <c r="K276" i="1"/>
  <c r="H472" i="1"/>
  <c r="H155" i="1"/>
  <c r="H154" i="1" l="1"/>
  <c r="H159" i="1"/>
  <c r="H156" i="1"/>
  <c r="H13" i="1"/>
  <c r="G24" i="1" l="1"/>
  <c r="C45" i="2" l="1"/>
  <c r="C37" i="10" l="1"/>
  <c r="F40" i="2" l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H662" i="1" s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E131" i="2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C40" i="10"/>
  <c r="F60" i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C85" i="2" s="1"/>
  <c r="F162" i="1"/>
  <c r="F169" i="1" s="1"/>
  <c r="G147" i="1"/>
  <c r="D85" i="2" s="1"/>
  <c r="D91" i="2" s="1"/>
  <c r="G162" i="1"/>
  <c r="H147" i="1"/>
  <c r="H162" i="1"/>
  <c r="H169" i="1" s="1"/>
  <c r="I147" i="1"/>
  <c r="F85" i="2" s="1"/>
  <c r="I162" i="1"/>
  <c r="L250" i="1"/>
  <c r="L332" i="1"/>
  <c r="L254" i="1"/>
  <c r="L268" i="1"/>
  <c r="L269" i="1"/>
  <c r="L349" i="1"/>
  <c r="E142" i="2" s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D115" i="2"/>
  <c r="F115" i="2"/>
  <c r="G115" i="2"/>
  <c r="E120" i="2"/>
  <c r="E121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G32" i="1"/>
  <c r="H32" i="1"/>
  <c r="I32" i="1"/>
  <c r="H51" i="1"/>
  <c r="G624" i="1" s="1"/>
  <c r="I51" i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H604" i="1" s="1"/>
  <c r="K604" i="1" s="1"/>
  <c r="K211" i="1"/>
  <c r="F229" i="1"/>
  <c r="G229" i="1"/>
  <c r="H229" i="1"/>
  <c r="I229" i="1"/>
  <c r="J229" i="1"/>
  <c r="I604" i="1" s="1"/>
  <c r="K229" i="1"/>
  <c r="F247" i="1"/>
  <c r="G247" i="1"/>
  <c r="H247" i="1"/>
  <c r="I247" i="1"/>
  <c r="J247" i="1"/>
  <c r="J604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645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H460" i="1"/>
  <c r="I460" i="1"/>
  <c r="F461" i="1"/>
  <c r="H639" i="1" s="1"/>
  <c r="G461" i="1"/>
  <c r="H461" i="1"/>
  <c r="H470" i="1"/>
  <c r="I470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H605" i="1"/>
  <c r="I605" i="1"/>
  <c r="J605" i="1"/>
  <c r="F614" i="1"/>
  <c r="G614" i="1"/>
  <c r="H614" i="1"/>
  <c r="I614" i="1"/>
  <c r="J614" i="1"/>
  <c r="K614" i="1"/>
  <c r="H629" i="1"/>
  <c r="H630" i="1"/>
  <c r="H633" i="1"/>
  <c r="H634" i="1"/>
  <c r="H636" i="1"/>
  <c r="H638" i="1"/>
  <c r="G639" i="1"/>
  <c r="H640" i="1"/>
  <c r="H641" i="1"/>
  <c r="G643" i="1"/>
  <c r="H643" i="1"/>
  <c r="G644" i="1"/>
  <c r="G645" i="1"/>
  <c r="G651" i="1"/>
  <c r="G652" i="1"/>
  <c r="H652" i="1"/>
  <c r="G653" i="1"/>
  <c r="H653" i="1"/>
  <c r="G654" i="1"/>
  <c r="H654" i="1"/>
  <c r="H655" i="1"/>
  <c r="J655" i="1" s="1"/>
  <c r="L328" i="1"/>
  <c r="H112" i="1"/>
  <c r="L419" i="1"/>
  <c r="H476" i="1"/>
  <c r="H624" i="1" s="1"/>
  <c r="K550" i="1"/>
  <c r="G22" i="2"/>
  <c r="H140" i="1"/>
  <c r="F22" i="13"/>
  <c r="C22" i="13" s="1"/>
  <c r="F338" i="1"/>
  <c r="F352" i="1" s="1"/>
  <c r="H192" i="1"/>
  <c r="G36" i="2"/>
  <c r="F552" i="1" l="1"/>
  <c r="A40" i="12"/>
  <c r="A13" i="12"/>
  <c r="G662" i="1"/>
  <c r="K500" i="1"/>
  <c r="J643" i="1"/>
  <c r="I452" i="1"/>
  <c r="H663" i="1"/>
  <c r="I663" i="1" s="1"/>
  <c r="L401" i="1"/>
  <c r="C139" i="2" s="1"/>
  <c r="E114" i="2"/>
  <c r="D18" i="13"/>
  <c r="C18" i="13" s="1"/>
  <c r="D17" i="13"/>
  <c r="C17" i="13" s="1"/>
  <c r="C123" i="2"/>
  <c r="I169" i="1"/>
  <c r="H545" i="1"/>
  <c r="F663" i="1"/>
  <c r="J651" i="1"/>
  <c r="J624" i="1"/>
  <c r="H661" i="1"/>
  <c r="H52" i="1"/>
  <c r="H619" i="1" s="1"/>
  <c r="I571" i="1"/>
  <c r="F571" i="1"/>
  <c r="L565" i="1"/>
  <c r="J640" i="1"/>
  <c r="G618" i="1"/>
  <c r="C121" i="2"/>
  <c r="C118" i="2"/>
  <c r="E16" i="13"/>
  <c r="G617" i="1"/>
  <c r="F50" i="1"/>
  <c r="G81" i="2"/>
  <c r="J645" i="1"/>
  <c r="H571" i="1"/>
  <c r="L433" i="1"/>
  <c r="J639" i="1"/>
  <c r="I446" i="1"/>
  <c r="G642" i="1" s="1"/>
  <c r="H408" i="1"/>
  <c r="H644" i="1" s="1"/>
  <c r="J644" i="1" s="1"/>
  <c r="G161" i="2"/>
  <c r="L362" i="1"/>
  <c r="G472" i="1" s="1"/>
  <c r="G474" i="1" s="1"/>
  <c r="G661" i="1"/>
  <c r="D18" i="2"/>
  <c r="J552" i="1"/>
  <c r="L544" i="1"/>
  <c r="C132" i="2"/>
  <c r="C119" i="2"/>
  <c r="C78" i="2"/>
  <c r="F78" i="2"/>
  <c r="F81" i="2" s="1"/>
  <c r="G62" i="2"/>
  <c r="D29" i="13"/>
  <c r="C29" i="13" s="1"/>
  <c r="D14" i="13"/>
  <c r="C14" i="13" s="1"/>
  <c r="D12" i="13"/>
  <c r="C12" i="13" s="1"/>
  <c r="C70" i="2"/>
  <c r="I461" i="1"/>
  <c r="H642" i="1" s="1"/>
  <c r="J634" i="1"/>
  <c r="G257" i="1"/>
  <c r="G271" i="1" s="1"/>
  <c r="G164" i="2"/>
  <c r="G156" i="2"/>
  <c r="E62" i="2"/>
  <c r="E63" i="2" s="1"/>
  <c r="F112" i="1"/>
  <c r="L393" i="1"/>
  <c r="C138" i="2" s="1"/>
  <c r="E122" i="2"/>
  <c r="C21" i="10"/>
  <c r="C12" i="10"/>
  <c r="E13" i="13"/>
  <c r="C13" i="13" s="1"/>
  <c r="K598" i="1"/>
  <c r="G647" i="1" s="1"/>
  <c r="J571" i="1"/>
  <c r="K571" i="1"/>
  <c r="L560" i="1"/>
  <c r="I476" i="1"/>
  <c r="H625" i="1" s="1"/>
  <c r="L427" i="1"/>
  <c r="J257" i="1"/>
  <c r="J271" i="1" s="1"/>
  <c r="F257" i="1"/>
  <c r="F271" i="1" s="1"/>
  <c r="G192" i="1"/>
  <c r="I52" i="1"/>
  <c r="H620" i="1" s="1"/>
  <c r="G157" i="2"/>
  <c r="L270" i="1"/>
  <c r="K551" i="1"/>
  <c r="H552" i="1"/>
  <c r="K549" i="1"/>
  <c r="F130" i="2"/>
  <c r="F144" i="2" s="1"/>
  <c r="F145" i="2" s="1"/>
  <c r="C91" i="2"/>
  <c r="C13" i="10"/>
  <c r="C20" i="10"/>
  <c r="L247" i="1"/>
  <c r="H660" i="1" s="1"/>
  <c r="H664" i="1" s="1"/>
  <c r="H667" i="1" s="1"/>
  <c r="L229" i="1"/>
  <c r="C110" i="2"/>
  <c r="J641" i="1"/>
  <c r="K545" i="1"/>
  <c r="G545" i="1"/>
  <c r="J545" i="1"/>
  <c r="L256" i="1"/>
  <c r="K257" i="1"/>
  <c r="K271" i="1" s="1"/>
  <c r="I257" i="1"/>
  <c r="I271" i="1" s="1"/>
  <c r="D81" i="2"/>
  <c r="D31" i="2"/>
  <c r="F18" i="2"/>
  <c r="C18" i="2"/>
  <c r="I545" i="1"/>
  <c r="H257" i="1"/>
  <c r="H271" i="1" s="1"/>
  <c r="E103" i="2"/>
  <c r="D62" i="2"/>
  <c r="D63" i="2" s="1"/>
  <c r="C26" i="10"/>
  <c r="C16" i="10"/>
  <c r="D7" i="13"/>
  <c r="C7" i="13" s="1"/>
  <c r="D5" i="13"/>
  <c r="C5" i="13" s="1"/>
  <c r="L211" i="1"/>
  <c r="C10" i="10"/>
  <c r="E119" i="2"/>
  <c r="G338" i="1"/>
  <c r="G352" i="1" s="1"/>
  <c r="C17" i="10"/>
  <c r="E118" i="2"/>
  <c r="L309" i="1"/>
  <c r="H338" i="1"/>
  <c r="H352" i="1" s="1"/>
  <c r="C18" i="10"/>
  <c r="E31" i="2"/>
  <c r="G112" i="1"/>
  <c r="C16" i="13"/>
  <c r="L290" i="1"/>
  <c r="K503" i="1"/>
  <c r="K352" i="1"/>
  <c r="E109" i="2"/>
  <c r="E115" i="2" s="1"/>
  <c r="C62" i="2"/>
  <c r="F661" i="1"/>
  <c r="I661" i="1" s="1"/>
  <c r="C19" i="10"/>
  <c r="C15" i="10"/>
  <c r="L539" i="1"/>
  <c r="L382" i="1"/>
  <c r="G636" i="1" s="1"/>
  <c r="J636" i="1" s="1"/>
  <c r="C35" i="10"/>
  <c r="C36" i="10" s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2" i="2"/>
  <c r="C120" i="2"/>
  <c r="C111" i="2"/>
  <c r="C56" i="2"/>
  <c r="F662" i="1"/>
  <c r="I662" i="1" s="1"/>
  <c r="E8" i="13"/>
  <c r="C8" i="13" s="1"/>
  <c r="H25" i="13"/>
  <c r="E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3" i="2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J652" i="1"/>
  <c r="G571" i="1"/>
  <c r="I434" i="1"/>
  <c r="G434" i="1"/>
  <c r="C27" i="10"/>
  <c r="G635" i="1"/>
  <c r="L545" i="1" l="1"/>
  <c r="G637" i="1"/>
  <c r="J468" i="1"/>
  <c r="J625" i="1"/>
  <c r="E104" i="2"/>
  <c r="C81" i="2"/>
  <c r="I193" i="1"/>
  <c r="G630" i="1" s="1"/>
  <c r="J630" i="1" s="1"/>
  <c r="G627" i="1"/>
  <c r="F468" i="1"/>
  <c r="J642" i="1"/>
  <c r="G51" i="1"/>
  <c r="D39" i="2"/>
  <c r="D50" i="2" s="1"/>
  <c r="D51" i="2" s="1"/>
  <c r="G104" i="2"/>
  <c r="F104" i="2"/>
  <c r="H646" i="1"/>
  <c r="J646" i="1" s="1"/>
  <c r="J647" i="1"/>
  <c r="H635" i="1"/>
  <c r="J635" i="1" s="1"/>
  <c r="F51" i="1"/>
  <c r="C49" i="2"/>
  <c r="C50" i="2" s="1"/>
  <c r="C51" i="2" s="1"/>
  <c r="C115" i="2"/>
  <c r="G660" i="1"/>
  <c r="G664" i="1" s="1"/>
  <c r="G667" i="1" s="1"/>
  <c r="L257" i="1"/>
  <c r="L271" i="1" s="1"/>
  <c r="G51" i="2"/>
  <c r="K552" i="1"/>
  <c r="C128" i="2"/>
  <c r="F660" i="1"/>
  <c r="E128" i="2"/>
  <c r="E145" i="2" s="1"/>
  <c r="H672" i="1"/>
  <c r="C6" i="10" s="1"/>
  <c r="L338" i="1"/>
  <c r="L352" i="1" s="1"/>
  <c r="G633" i="1" s="1"/>
  <c r="J633" i="1" s="1"/>
  <c r="D31" i="13"/>
  <c r="C31" i="13" s="1"/>
  <c r="C28" i="10"/>
  <c r="D24" i="10" s="1"/>
  <c r="H648" i="1"/>
  <c r="J648" i="1" s="1"/>
  <c r="C63" i="2"/>
  <c r="C25" i="13"/>
  <c r="H33" i="13"/>
  <c r="E33" i="13"/>
  <c r="D35" i="13" s="1"/>
  <c r="G631" i="1"/>
  <c r="G193" i="1"/>
  <c r="G626" i="1"/>
  <c r="J52" i="1"/>
  <c r="H621" i="1" s="1"/>
  <c r="J621" i="1" s="1"/>
  <c r="C38" i="10"/>
  <c r="J470" i="1" l="1"/>
  <c r="J476" i="1" s="1"/>
  <c r="H626" i="1" s="1"/>
  <c r="J626" i="1" s="1"/>
  <c r="H631" i="1"/>
  <c r="J631" i="1" s="1"/>
  <c r="H637" i="1"/>
  <c r="J637" i="1" s="1"/>
  <c r="C104" i="2"/>
  <c r="H627" i="1"/>
  <c r="J627" i="1" s="1"/>
  <c r="F470" i="1"/>
  <c r="G628" i="1"/>
  <c r="G468" i="1"/>
  <c r="G623" i="1"/>
  <c r="G52" i="1"/>
  <c r="H618" i="1" s="1"/>
  <c r="J618" i="1" s="1"/>
  <c r="G632" i="1"/>
  <c r="F472" i="1"/>
  <c r="G622" i="1"/>
  <c r="F52" i="1"/>
  <c r="H617" i="1" s="1"/>
  <c r="J617" i="1" s="1"/>
  <c r="I660" i="1"/>
  <c r="I664" i="1" s="1"/>
  <c r="I672" i="1" s="1"/>
  <c r="C7" i="10" s="1"/>
  <c r="C145" i="2"/>
  <c r="G672" i="1"/>
  <c r="C5" i="10" s="1"/>
  <c r="F664" i="1"/>
  <c r="F672" i="1" s="1"/>
  <c r="C4" i="10" s="1"/>
  <c r="D33" i="13"/>
  <c r="D36" i="13" s="1"/>
  <c r="D26" i="10"/>
  <c r="C30" i="10"/>
  <c r="D10" i="10"/>
  <c r="D16" i="10"/>
  <c r="D20" i="10"/>
  <c r="D23" i="10"/>
  <c r="D13" i="10"/>
  <c r="D11" i="10"/>
  <c r="D21" i="10"/>
  <c r="D22" i="10"/>
  <c r="D15" i="10"/>
  <c r="D25" i="10"/>
  <c r="D19" i="10"/>
  <c r="D27" i="10"/>
  <c r="D18" i="10"/>
  <c r="D17" i="10"/>
  <c r="D12" i="10"/>
  <c r="C41" i="10"/>
  <c r="D38" i="10" s="1"/>
  <c r="G470" i="1" l="1"/>
  <c r="G476" i="1" s="1"/>
  <c r="H623" i="1" s="1"/>
  <c r="J623" i="1" s="1"/>
  <c r="H628" i="1"/>
  <c r="J628" i="1" s="1"/>
  <c r="H632" i="1"/>
  <c r="J632" i="1" s="1"/>
  <c r="F474" i="1"/>
  <c r="I667" i="1"/>
  <c r="F667" i="1"/>
  <c r="D28" i="10"/>
  <c r="D37" i="10"/>
  <c r="D36" i="10"/>
  <c r="D35" i="10"/>
  <c r="D40" i="10"/>
  <c r="D39" i="10"/>
  <c r="D41" i="10" l="1"/>
  <c r="F476" i="1"/>
  <c r="H622" i="1" s="1"/>
  <c r="H656" i="1" l="1"/>
  <c r="J62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<sst xmlns="http://schemas.openxmlformats.org/spreadsheetml/2006/main" count="3958" uniqueCount="916">
  <si>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</si>
  <si>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</si>
  <si>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</si>
  <si>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</si>
  <si>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</si>
  <si>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</si>
  <si>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</si>
  <si>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</si>
  <si>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</si>
  <si>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</si>
  <si>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</si>
  <si>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</si>
  <si>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</si>
  <si>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</si>
  <si>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</si>
  <si>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</si>
  <si>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</si>
  <si>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</si>
  <si>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</si>
  <si>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</si>
  <si>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</si>
  <si>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</si>
  <si>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</si>
  <si>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</si>
  <si>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</si>
  <si>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</si>
  <si>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</si>
  <si>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</si>
  <si>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</si>
  <si>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</si>
  <si>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</si>
  <si>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</si>
  <si>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</si>
  <si>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</si>
  <si>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</si>
  <si>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</si>
  <si>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</si>
  <si>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</si>
  <si>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</si>
  <si>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</si>
  <si>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</si>
  <si>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</si>
  <si>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</si>
  <si>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</si>
  <si>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</si>
  <si>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</si>
  <si>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</si>
  <si>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</si>
  <si>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</si>
  <si>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</si>
  <si>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</si>
  <si>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</si>
  <si>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</si>
  <si>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</si>
  <si>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</si>
  <si>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</si>
  <si>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</si>
  <si>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</si>
  <si>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</si>
  <si>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</si>
  <si>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</si>
  <si>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</si>
  <si>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</si>
  <si>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</si>
  <si>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</si>
  <si>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</si>
  <si>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</si>
  <si>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</si>
  <si>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</si>
  <si>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</si>
  <si>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</si>
  <si>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</si>
  <si>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</si>
  <si>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</si>
  <si>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</si>
  <si>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</si>
  <si>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</si>
  <si>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</si>
  <si>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</si>
  <si>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</si>
  <si>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</si>
  <si>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</si>
  <si>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</si>
  <si>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</si>
  <si>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</si>
  <si>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</si>
  <si>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</si>
  <si>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</si>
  <si>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</si>
  <si>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</si>
  <si>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</si>
  <si>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</si>
  <si>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</si>
  <si>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</si>
  <si>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</si>
  <si>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</si>
  <si>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</si>
  <si>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</si>
  <si>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</si>
  <si>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</si>
  <si>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</si>
  <si>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</si>
  <si>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</si>
  <si>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</si>
  <si>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</si>
  <si>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</si>
  <si>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</si>
  <si>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</si>
  <si>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</si>
  <si>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</si>
  <si>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</si>
  <si>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</si>
  <si>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</si>
  <si>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</si>
  <si>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</si>
  <si>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</si>
  <si>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</si>
  <si>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</si>
  <si>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</si>
  <si>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</si>
  <si>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</si>
  <si>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</si>
  <si>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</si>
  <si>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</si>
  <si>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</si>
  <si>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</si>
  <si>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</si>
  <si>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</si>
  <si>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</si>
  <si>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</si>
  <si>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</si>
  <si>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</si>
  <si>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</si>
  <si>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</si>
  <si>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</si>
  <si>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</si>
  <si>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</si>
  <si>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</si>
  <si>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</si>
  <si>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</si>
  <si>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</si>
  <si>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</si>
  <si>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</si>
  <si>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</si>
  <si>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</si>
  <si>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</si>
  <si>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</si>
  <si>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</si>
  <si>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</si>
  <si>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</si>
  <si>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</si>
  <si>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</si>
  <si>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</si>
  <si>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</si>
  <si>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</si>
  <si>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</si>
  <si>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</si>
  <si>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</si>
  <si>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</si>
  <si>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</si>
  <si>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</si>
  <si>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</si>
  <si>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</si>
  <si>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</si>
  <si>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</si>
  <si>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</si>
  <si>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</si>
  <si>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</si>
  <si>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</si>
  <si>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</si>
  <si>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</si>
  <si>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</si>
  <si>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</si>
  <si>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</si>
  <si>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</si>
  <si>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</si>
  <si>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</si>
  <si>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</si>
  <si>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</si>
  <si>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</si>
  <si>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</si>
  <si>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</si>
  <si>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</si>
  <si>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</si>
  <si>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</si>
  <si>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</si>
  <si>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</si>
  <si>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</si>
  <si>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</si>
  <si>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</si>
  <si>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</si>
  <si>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</si>
  <si>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</si>
  <si>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</si>
  <si>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</si>
  <si>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</si>
  <si>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</si>
  <si>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</si>
  <si>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</si>
  <si>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</si>
  <si>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</si>
  <si>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</si>
  <si>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</si>
  <si>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</si>
  <si>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</si>
  <si>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</si>
  <si>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</si>
  <si>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</si>
  <si>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</si>
  <si>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</si>
  <si>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</si>
  <si>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</si>
  <si>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</si>
  <si>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</si>
  <si>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</si>
  <si>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</si>
  <si>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</si>
  <si>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</si>
  <si>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</si>
  <si>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</si>
  <si>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</si>
  <si>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</si>
  <si>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</si>
  <si>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</si>
  <si>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</si>
  <si>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</si>
  <si>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</si>
  <si>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</si>
  <si>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</si>
  <si>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</si>
  <si>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</si>
  <si>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</si>
  <si>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</si>
  <si>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</si>
  <si>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</si>
  <si>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</si>
  <si>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</si>
  <si>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</si>
  <si>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</si>
  <si>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</si>
  <si>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</si>
  <si>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</si>
  <si>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</si>
  <si>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</si>
  <si>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</si>
  <si>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</si>
  <si>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</si>
  <si>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</si>
  <si>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</si>
  <si>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</si>
  <si>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</si>
  <si>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</si>
  <si>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</si>
  <si>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</si>
  <si>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</si>
  <si>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</si>
  <si>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</si>
  <si>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</si>
  <si>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</si>
  <si>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</si>
  <si>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</si>
  <si>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</si>
  <si>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</si>
  <si>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</si>
  <si>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</si>
  <si>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</si>
  <si>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</si>
  <si>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</si>
  <si>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</si>
  <si>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</si>
  <si>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</si>
  <si>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</si>
  <si>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</si>
  <si>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</si>
  <si>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</si>
  <si>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</si>
  <si>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</si>
  <si>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</si>
  <si>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</si>
  <si>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</si>
  <si>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</si>
  <si>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</si>
  <si>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</si>
  <si>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</si>
  <si>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</si>
  <si>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</si>
  <si>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</si>
  <si>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</si>
  <si>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</si>
  <si>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</si>
  <si>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</si>
  <si>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</si>
  <si>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</si>
  <si>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</si>
  <si>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</si>
  <si>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</si>
  <si>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</si>
  <si>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</si>
  <si>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</si>
  <si>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</si>
  <si>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</si>
  <si>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</si>
  <si>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</si>
  <si>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</si>
  <si>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</si>
  <si>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</si>
  <si>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</si>
  <si>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</si>
  <si>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</si>
  <si>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</si>
  <si>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</si>
  <si>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</si>
  <si>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</si>
  <si>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</si>
  <si>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</si>
  <si>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</si>
  <si>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</si>
  <si>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</si>
  <si>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</si>
  <si>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</si>
  <si>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</si>
  <si>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</si>
  <si>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</si>
  <si>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</si>
  <si>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</si>
  <si>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</si>
  <si>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</si>
  <si>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</si>
  <si>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</si>
  <si>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</si>
  <si>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</si>
  <si>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</si>
  <si>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</si>
  <si>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</si>
  <si>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</si>
  <si>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</si>
  <si>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</si>
  <si>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</si>
  <si>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</si>
  <si>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</si>
  <si>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</si>
  <si>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</si>
  <si>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</si>
  <si>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</si>
  <si>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</si>
  <si>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</si>
  <si>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</si>
  <si>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</si>
  <si>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</si>
  <si>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</si>
  <si>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</si>
  <si>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</si>
  <si>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</si>
  <si>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</si>
  <si>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</si>
  <si>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</si>
  <si>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</si>
  <si>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</si>
  <si>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</si>
  <si>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</si>
  <si>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</si>
  <si>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</si>
  <si>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</si>
  <si>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</si>
  <si>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</si>
  <si>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</si>
  <si>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</si>
  <si>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</si>
  <si>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</si>
  <si>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</si>
  <si>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</si>
  <si>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</si>
  <si>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</si>
  <si>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</si>
  <si>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</si>
  <si>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</si>
  <si>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</si>
  <si>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</si>
  <si>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</si>
  <si>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</si>
  <si>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</si>
  <si>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</si>
  <si>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</si>
  <si>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</si>
  <si>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</si>
  <si>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</si>
  <si>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</si>
  <si>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</si>
  <si>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</si>
  <si>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</si>
  <si>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</si>
  <si>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</si>
  <si>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</si>
  <si>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</si>
  <si>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</si>
  <si>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</si>
  <si>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</si>
  <si>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</si>
  <si>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</si>
  <si>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</si>
  <si>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</si>
  <si>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</si>
  <si>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</si>
  <si>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</si>
  <si>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</si>
  <si>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</si>
  <si>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</si>
  <si>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</si>
  <si>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</si>
  <si>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</si>
  <si>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</si>
  <si>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</si>
  <si>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</si>
  <si>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</si>
  <si>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</si>
  <si>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</si>
  <si>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</si>
  <si>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</si>
  <si>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</si>
  <si>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</si>
  <si>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</si>
  <si>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</si>
  <si>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</si>
  <si>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</si>
  <si>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</si>
  <si>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</si>
  <si>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</si>
  <si>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</si>
  <si>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</si>
  <si>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</si>
  <si>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</si>
  <si>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</si>
  <si>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</si>
  <si>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</si>
  <si>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</si>
  <si>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</si>
  <si>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</si>
  <si>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</si>
  <si>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</si>
  <si>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</si>
  <si>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</si>
  <si>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</si>
  <si>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</si>
  <si>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</si>
  <si>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</si>
  <si>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</si>
  <si>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</si>
  <si>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</si>
  <si>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</si>
  <si>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</si>
  <si>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</si>
  <si>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</si>
  <si>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</si>
  <si>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</si>
  <si>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</si>
  <si>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</si>
  <si>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</si>
  <si>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</si>
  <si>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</si>
  <si>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</si>
  <si>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</si>
  <si>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</si>
  <si>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</si>
  <si>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</si>
  <si>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</si>
  <si>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</si>
  <si>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</si>
  <si>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</si>
  <si>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</si>
  <si>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</si>
  <si>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</si>
  <si>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</si>
  <si>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</si>
  <si>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</si>
  <si>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</si>
  <si>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</si>
  <si>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</si>
  <si>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</si>
  <si>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</si>
  <si>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</si>
  <si>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</si>
  <si>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</si>
  <si>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</si>
  <si>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</si>
  <si>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</si>
  <si>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</si>
  <si>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</si>
  <si>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</si>
  <si>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</si>
  <si>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</si>
  <si>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</si>
  <si>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</si>
  <si>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</si>
  <si>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</si>
  <si>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</si>
  <si>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</si>
  <si>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</si>
  <si>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</si>
  <si>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</si>
  <si>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</si>
  <si>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</si>
  <si>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</si>
  <si>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</si>
  <si>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</si>
  <si>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</si>
  <si>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</si>
  <si>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</si>
  <si>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</si>
  <si>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</si>
  <si>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</si>
  <si>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</si>
  <si>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</si>
  <si>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</si>
  <si>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</si>
  <si>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</si>
  <si>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</si>
  <si>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</si>
  <si>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</si>
  <si>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</si>
  <si>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</si>
  <si>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</si>
  <si>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</si>
  <si>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</si>
  <si>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</si>
  <si>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</si>
  <si>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</si>
  <si>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</si>
  <si>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</si>
  <si>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</si>
  <si>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</si>
  <si>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</si>
  <si>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</si>
  <si>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</si>
  <si>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</si>
  <si>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</si>
  <si>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</si>
  <si>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</si>
  <si>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</si>
  <si>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</si>
  <si>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</si>
  <si>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</si>
  <si>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</si>
  <si>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</si>
  <si>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</si>
  <si>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</si>
  <si>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</si>
  <si>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</si>
  <si>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</si>
  <si>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</si>
  <si>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</si>
  <si>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</si>
  <si>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</si>
  <si>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</si>
  <si>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</si>
  <si>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</si>
  <si>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</si>
  <si>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</si>
  <si>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</si>
  <si>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</si>
  <si>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</si>
  <si>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</si>
  <si>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</si>
  <si>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</si>
  <si>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</si>
  <si>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</si>
  <si>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</si>
  <si>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</si>
  <si>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</si>
  <si>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</si>
  <si>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</si>
  <si>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</si>
  <si>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</si>
  <si>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</si>
  <si>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</si>
  <si>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</si>
  <si>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</si>
  <si>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</si>
  <si>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</si>
  <si>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</si>
  <si>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</si>
  <si>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</si>
  <si>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</si>
  <si>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</si>
  <si>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</si>
  <si>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</si>
  <si>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</si>
  <si>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</si>
  <si>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</si>
  <si>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</si>
  <si>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</si>
  <si>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</si>
  <si>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</si>
  <si>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</si>
  <si>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</si>
  <si>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</si>
  <si>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</si>
  <si>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</si>
  <si>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</si>
  <si>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</si>
  <si>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</si>
  <si>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</si>
  <si>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</si>
  <si>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</si>
  <si>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</si>
  <si>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</si>
  <si>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</si>
  <si>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</si>
  <si>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</si>
  <si>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</si>
  <si>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</si>
  <si>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</si>
  <si>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</si>
  <si>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</si>
  <si>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</si>
  <si>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</si>
  <si>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</si>
  <si>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</si>
  <si>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</si>
  <si>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</si>
  <si>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</si>
  <si>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</si>
  <si>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</si>
  <si>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</si>
  <si>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</si>
  <si>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</si>
  <si>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</si>
  <si>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</si>
  <si>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</si>
  <si>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</si>
  <si>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</si>
  <si>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</si>
  <si>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</si>
  <si>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</si>
  <si>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</si>
  <si>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</si>
  <si>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</si>
  <si>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</si>
  <si>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</si>
  <si>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</si>
  <si>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</si>
  <si>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</si>
  <si>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</si>
  <si>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</si>
  <si>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</si>
  <si>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</si>
  <si>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</si>
  <si>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</si>
  <si>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</si>
  <si>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</si>
  <si>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</si>
  <si>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</si>
  <si>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</si>
  <si>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</si>
  <si>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</si>
  <si>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</si>
  <si>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</si>
  <si>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</si>
  <si>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</si>
  <si>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</si>
  <si>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</si>
  <si>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</si>
  <si>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</si>
  <si>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</si>
  <si>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</si>
  <si>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</si>
  <si>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</si>
  <si>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</si>
  <si>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</si>
  <si>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</si>
  <si>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</si>
  <si>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</si>
  <si>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</si>
  <si>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</si>
  <si>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</si>
  <si>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</si>
  <si>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</si>
  <si>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</si>
  <si>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</si>
  <si>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</si>
  <si>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</si>
  <si>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</si>
  <si>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</si>
  <si>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</si>
  <si>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</si>
  <si>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</si>
  <si>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</si>
  <si>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</si>
  <si>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</si>
  <si>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</si>
  <si>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</si>
  <si>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</si>
  <si>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</si>
  <si>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</si>
  <si>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</si>
  <si>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</si>
  <si>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</si>
  <si>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</si>
  <si>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</si>
  <si>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</si>
  <si>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</si>
  <si>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</si>
  <si>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</si>
  <si>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</si>
  <si>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</si>
  <si>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</si>
  <si>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</si>
  <si>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</si>
  <si>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</si>
  <si>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</si>
  <si>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</si>
  <si>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</si>
  <si>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</si>
  <si>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</si>
  <si>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</si>
  <si>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</si>
  <si>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</si>
  <si>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</si>
  <si>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</si>
  <si>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</si>
  <si>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</si>
  <si>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</si>
  <si>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</si>
  <si>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</si>
  <si>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</si>
  <si>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</si>
  <si>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</si>
  <si>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</si>
  <si>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</si>
  <si>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</si>
  <si>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</si>
  <si>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</si>
  <si>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</si>
  <si>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</si>
  <si>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</si>
  <si>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</si>
  <si>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</si>
  <si>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</si>
  <si>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</si>
  <si>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</si>
  <si>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</si>
  <si>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</si>
  <si>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</si>
  <si>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</si>
  <si>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</si>
  <si>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</si>
  <si>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</si>
  <si>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</si>
  <si>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</si>
  <si>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</si>
  <si>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</si>
  <si>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</si>
  <si>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</si>
  <si>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</si>
  <si>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</si>
  <si>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</si>
  <si>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</si>
  <si>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</si>
  <si>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</si>
  <si>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</si>
  <si>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</si>
  <si>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</si>
  <si>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</si>
  <si>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</si>
  <si>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</si>
  <si>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</si>
  <si>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</si>
  <si>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</si>
  <si>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</si>
  <si>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</si>
  <si>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</si>
  <si>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</si>
  <si>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</si>
  <si>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</si>
  <si>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</si>
  <si>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</si>
  <si>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</si>
  <si>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</si>
  <si>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</si>
  <si>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</si>
  <si>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</si>
  <si>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</si>
  <si>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</si>
  <si>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</si>
  <si>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</si>
  <si>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</si>
  <si>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</si>
  <si>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</si>
  <si>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</si>
  <si>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</si>
  <si>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</si>
  <si>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</si>
  <si>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</si>
  <si>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</si>
  <si>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</si>
  <si>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</si>
  <si>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</si>
  <si>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</si>
  <si>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</si>
  <si>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</si>
  <si>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</si>
  <si>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</si>
  <si>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</si>
  <si>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</si>
  <si>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</si>
  <si>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</si>
  <si>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</si>
  <si>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</si>
  <si>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</si>
  <si>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</si>
  <si>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</si>
  <si>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</si>
  <si>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</si>
  <si>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</si>
  <si>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</si>
  <si>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</si>
  <si>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</si>
  <si>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</si>
  <si>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</si>
  <si>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</si>
  <si>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</si>
  <si>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</si>
  <si>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</si>
  <si>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</si>
  <si>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</si>
  <si>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</si>
  <si>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</si>
  <si>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</si>
  <si>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</si>
  <si>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</si>
  <si>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</si>
  <si>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</si>
  <si>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</si>
  <si>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</si>
  <si>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</si>
  <si>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</si>
  <si>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</si>
  <si>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</si>
  <si>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</si>
  <si>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</si>
  <si>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</si>
  <si>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</si>
  <si>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</si>
  <si>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</si>
  <si>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</si>
  <si>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</si>
  <si>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</si>
  <si>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</si>
  <si>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</si>
  <si>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</si>
  <si>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</si>
  <si>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</si>
  <si>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</si>
  <si>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</si>
  <si>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</si>
  <si>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</si>
  <si>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</si>
  <si>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</si>
  <si>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</si>
  <si>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</si>
  <si>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</si>
  <si>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</si>
  <si>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</si>
  <si>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</si>
  <si>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</si>
  <si>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</si>
  <si>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</si>
  <si>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</si>
  <si>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</si>
  <si>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</si>
  <si>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</si>
  <si>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</si>
  <si>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</si>
  <si>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</si>
  <si>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</si>
  <si>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</si>
  <si>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</si>
  <si>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</si>
  <si>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</si>
  <si>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</si>
  <si>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</si>
  <si>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</si>
  <si>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</si>
  <si>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</si>
  <si>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</si>
  <si>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</si>
  <si>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</si>
  <si>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</si>
  <si>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</si>
  <si>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</si>
  <si>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</si>
  <si>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</si>
  <si>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</si>
  <si>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</si>
  <si>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</si>
  <si>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</si>
  <si>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</si>
  <si>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</si>
  <si>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</si>
  <si>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</si>
  <si>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</si>
  <si>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</si>
  <si>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</si>
  <si>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</si>
  <si>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</si>
  <si>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</si>
  <si>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</si>
  <si>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</si>
  <si>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</si>
  <si>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</si>
  <si>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</si>
  <si>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</si>
  <si>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</si>
  <si>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Foodservice subsidy from Board</t>
  </si>
  <si>
    <t>02/15/2013</t>
  </si>
  <si>
    <t>02/15/2023</t>
  </si>
  <si>
    <t>Contoocook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</si>
</sst>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112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4357029.1900000004</v>
      </c>
      <c r="G9" s="18">
        <f>12973.75+300</f>
        <v>13273.75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5903.21</v>
      </c>
      <c r="G10" s="18"/>
      <c r="H10" s="18"/>
      <c r="I10" s="18"/>
      <c r="J10" s="67">
        <f>SUM(I440)</f>
        <v>1971407.9400000002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236655.85</v>
      </c>
      <c r="G12" s="18">
        <v>35650</v>
      </c>
      <c r="H12" s="18">
        <v>271514.63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33035.120000000003</v>
      </c>
      <c r="H13" s="18">
        <f>238739.87</f>
        <v>238739.87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96513.1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50448.800000000003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4746550.1499999994</v>
      </c>
      <c r="G19" s="41">
        <f>SUM(G9:G18)</f>
        <v>81958.87</v>
      </c>
      <c r="H19" s="41">
        <f>SUM(H9:H18)</f>
        <v>510254.5</v>
      </c>
      <c r="I19" s="41">
        <f>SUM(I9:I18)</f>
        <v>0</v>
      </c>
      <c r="J19" s="41">
        <f>SUM(J9:J18)</f>
        <v>1971407.9400000002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307164.83</v>
      </c>
      <c r="G22" s="18"/>
      <c r="H22" s="18">
        <v>234700.78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127320.49</v>
      </c>
      <c r="G24" s="18">
        <f>95483.4+47741.7</f>
        <v>143225.09999999998</v>
      </c>
      <c r="H24" s="18">
        <v>4039.21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3000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1006516</v>
      </c>
      <c r="G30" s="18">
        <v>14354.89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1444001.32</v>
      </c>
      <c r="G32" s="41">
        <f>SUM(G22:G31)</f>
        <v>157579.99</v>
      </c>
      <c r="H32" s="41">
        <f>SUM(H22:H31)</f>
        <v>238739.99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50448.800000000003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-75621.119999999995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f>271514.63-0.12</f>
        <v>271514.51</v>
      </c>
      <c r="I48" s="18"/>
      <c r="J48" s="13">
        <f>SUM(I459)</f>
        <v>1971407.94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1329591.06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F19-F32-F36-F44-F49</f>
        <v>1372508.9699999993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3302548.8299999991</v>
      </c>
      <c r="G51" s="41">
        <f>SUM(G35:G50)</f>
        <v>-75621.119999999995</v>
      </c>
      <c r="H51" s="41">
        <f>SUM(H35:H50)</f>
        <v>271514.51</v>
      </c>
      <c r="I51" s="41">
        <f>SUM(I35:I50)</f>
        <v>0</v>
      </c>
      <c r="J51" s="41">
        <f>SUM(J35:J50)</f>
        <v>1971407.94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4746550.1499999994</v>
      </c>
      <c r="G52" s="41">
        <f>G51+G32</f>
        <v>81958.87</v>
      </c>
      <c r="H52" s="41">
        <f>H51+H32</f>
        <v>510254.5</v>
      </c>
      <c r="I52" s="41">
        <f>I51+I32</f>
        <v>0</v>
      </c>
      <c r="J52" s="41">
        <f>J51+J32</f>
        <v>1971407.94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28764935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28764935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48833.99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f>71783.35+25866.2</f>
        <v>97649.55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7776.77</v>
      </c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154260.31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1728.5</v>
      </c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1728.5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9492.17</v>
      </c>
      <c r="G96" s="18">
        <v>72.849999999999994</v>
      </c>
      <c r="H96" s="18"/>
      <c r="I96" s="18"/>
      <c r="J96" s="18">
        <v>1307.51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451476.72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13379.76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22871.93</v>
      </c>
      <c r="G111" s="41">
        <f>SUM(G96:G110)</f>
        <v>451549.56999999995</v>
      </c>
      <c r="H111" s="41">
        <f>SUM(H96:H110)</f>
        <v>0</v>
      </c>
      <c r="I111" s="41">
        <f>SUM(I96:I110)</f>
        <v>0</v>
      </c>
      <c r="J111" s="41">
        <f>SUM(J96:J110)</f>
        <v>1307.51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28943795.739999998</v>
      </c>
      <c r="G112" s="41">
        <f>G60+G111</f>
        <v>451549.56999999995</v>
      </c>
      <c r="H112" s="41">
        <f>H60+H79+H94+H111</f>
        <v>0</v>
      </c>
      <c r="I112" s="41">
        <f>I60+I111</f>
        <v>0</v>
      </c>
      <c r="J112" s="41">
        <f>J60+J111</f>
        <v>1307.51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7420133.93-17327</f>
        <v>7402806.9299999997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4600495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17327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12020628.93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438590.35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469537.17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f>25456.29-8529.9</f>
        <v>16926.39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8529.9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11523.94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933583.81</v>
      </c>
      <c r="G136" s="41">
        <f>SUM(G123:G135)</f>
        <v>11523.94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12954212.74</v>
      </c>
      <c r="G140" s="41">
        <f>G121+SUM(G136:G137)</f>
        <v>11523.94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433021.23+17354.75</f>
        <v>450375.98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12555.47+44250+76024.21+75894.24</f>
        <v>208723.91999999998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f>5027.85+62793.57</f>
        <v>67821.42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9125.68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480909.98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10177.87+543998.92</f>
        <v>554176.79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390278.61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390278.61</v>
      </c>
      <c r="G162" s="41">
        <f>SUM(G150:G161)</f>
        <v>480909.98</v>
      </c>
      <c r="H162" s="41">
        <f>SUM(H150:H161)</f>
        <v>1290223.79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390278.61</v>
      </c>
      <c r="G169" s="41">
        <f>G147+G162+SUM(G163:G168)</f>
        <v>480909.98</v>
      </c>
      <c r="H169" s="41">
        <f>H147+H162+SUM(H163:H168)</f>
        <v>1290223.79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75000</v>
      </c>
      <c r="H179" s="18"/>
      <c r="I179" s="18"/>
      <c r="J179" s="18">
        <v>500000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8170.32</v>
      </c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8170.32</v>
      </c>
      <c r="G183" s="41">
        <f>SUM(G179:G182)</f>
        <v>75000</v>
      </c>
      <c r="H183" s="41">
        <f>SUM(H179:H182)</f>
        <v>0</v>
      </c>
      <c r="I183" s="41">
        <f>SUM(I179:I182)</f>
        <v>0</v>
      </c>
      <c r="J183" s="41">
        <f>SUM(J179:J182)</f>
        <v>500000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8170.32</v>
      </c>
      <c r="G192" s="41">
        <f>G183+SUM(G188:G191)</f>
        <v>75000</v>
      </c>
      <c r="H192" s="41">
        <f>+H183+SUM(H188:H191)</f>
        <v>0</v>
      </c>
      <c r="I192" s="41">
        <f>I177+I183+SUM(I188:I191)</f>
        <v>0</v>
      </c>
      <c r="J192" s="41">
        <f>J183</f>
        <v>500000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42296457.409999996</v>
      </c>
      <c r="G193" s="47">
        <f>G112+G140+G169+G192</f>
        <v>1018983.49</v>
      </c>
      <c r="H193" s="47">
        <f>H112+H140+H169+H192</f>
        <v>1290223.79</v>
      </c>
      <c r="I193" s="47">
        <f>I112+I140+I169+I192</f>
        <v>0</v>
      </c>
      <c r="J193" s="47">
        <f>J112+J140+J192</f>
        <v>501307.51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4036856.29</v>
      </c>
      <c r="G197" s="18">
        <f>613151.82+0.31*86347.3+(F197*7.65%)+0.3*189906.93+43678.49+10%*F197+0.3*45989+296769</f>
        <v>1763640.8871850001</v>
      </c>
      <c r="H197" s="18">
        <f>45740.77+1798.45+8987.5+0.3*8285.56</f>
        <v>59012.387999999992</v>
      </c>
      <c r="I197" s="18">
        <f>111596.79+4110.05+1905.88+128.75+7901.86</f>
        <v>125643.33</v>
      </c>
      <c r="J197" s="18">
        <v>57388.74</v>
      </c>
      <c r="K197" s="18"/>
      <c r="L197" s="19">
        <f>SUM(F197:K197)</f>
        <v>6042541.6351850005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603184.54+458461.06</f>
        <v>1061645.6000000001</v>
      </c>
      <c r="G198" s="18">
        <f>296672.69+(F198*7.65%)+0.1*F198+0.3*332876</f>
        <v>583915.93839999998</v>
      </c>
      <c r="H198" s="18">
        <f>13720+5298.36+70700</f>
        <v>89718.36</v>
      </c>
      <c r="I198" s="18">
        <f>3702.89+389.88+4007.62</f>
        <v>8100.3899999999994</v>
      </c>
      <c r="J198" s="18">
        <f>0.3*10155.19</f>
        <v>3046.5570000000002</v>
      </c>
      <c r="K198" s="18"/>
      <c r="L198" s="19">
        <f>SUM(F198:K198)</f>
        <v>1746426.8454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4"/>
      <c r="H200" s="18">
        <v>2919.24</v>
      </c>
      <c r="I200" s="18">
        <f>1715.16</f>
        <v>1715.16</v>
      </c>
      <c r="J200" s="18"/>
      <c r="K200" s="18"/>
      <c r="L200" s="19">
        <f>SUM(F200:K200)</f>
        <v>4634.3999999999996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34166+111751.4</f>
        <v>145917.4</v>
      </c>
      <c r="G202" s="18">
        <f>31019.52+41769.8+(F202*7.65%)+0.1*F202</f>
        <v>98543.741100000014</v>
      </c>
      <c r="H202" s="18">
        <f>228.07</f>
        <v>228.07</v>
      </c>
      <c r="I202" s="18">
        <f>2283.02+3173.45+328.54</f>
        <v>5785.0099999999993</v>
      </c>
      <c r="J202" s="18">
        <f>0.3*40225.83</f>
        <v>12067.749</v>
      </c>
      <c r="K202" s="18"/>
      <c r="L202" s="19">
        <f t="shared" ref="L202:L208" si="0">SUM(F202:K202)</f>
        <v>262541.97010000004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69295+0.3*142245.6</f>
        <v>111968.68</v>
      </c>
      <c r="G203" s="18">
        <f>28448.16+(F203*7.65%)+0.1*F203</f>
        <v>48210.632020000005</v>
      </c>
      <c r="H203" s="18">
        <f>8416+(43123.22+315607.96)*0.3+49781+12707.17+35357.1+94679+26000</f>
        <v>334559.62400000001</v>
      </c>
      <c r="I203" s="18">
        <f>1706.53+14313.49+766.59+1728</f>
        <v>18514.61</v>
      </c>
      <c r="J203" s="18">
        <f>0.3*74988.78</f>
        <v>22496.633999999998</v>
      </c>
      <c r="K203" s="18"/>
      <c r="L203" s="19">
        <f t="shared" si="0"/>
        <v>535750.18001999997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0.3*882518.93+0.3*315341.17</f>
        <v>359358.03</v>
      </c>
      <c r="G204" s="18">
        <f>7.65%*F204</f>
        <v>27490.889295000001</v>
      </c>
      <c r="H204" s="18">
        <f>0.3*23437.5+0.3*115421.09+0.3*32059.77</f>
        <v>51275.508000000002</v>
      </c>
      <c r="I204" s="18">
        <f>0.3*162588.92+0.3*17114.01</f>
        <v>53910.879000000001</v>
      </c>
      <c r="J204" s="18"/>
      <c r="K204" s="18">
        <f>0.3*15557.45+0.3*3074.43</f>
        <v>5589.5639999999994</v>
      </c>
      <c r="L204" s="19">
        <f t="shared" si="0"/>
        <v>497624.87029500009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290476.85+577584.74</f>
        <v>868061.59</v>
      </c>
      <c r="G205" s="18">
        <f>181090.44+(F205*7.65%)+0.5*14721+0.1*F205+0.3*103972</f>
        <v>372855.41063499998</v>
      </c>
      <c r="H205" s="18">
        <f>1815.53+225+4362.14+(48419.34+25527.97)*0.3</f>
        <v>28586.862999999998</v>
      </c>
      <c r="I205" s="18">
        <f>1115.42+661.4</f>
        <v>1776.8200000000002</v>
      </c>
      <c r="J205" s="18"/>
      <c r="K205" s="18">
        <f>14223.34-1728.61</f>
        <v>12494.73</v>
      </c>
      <c r="L205" s="19">
        <f t="shared" si="0"/>
        <v>1283775.4136349999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35276.83+3402.12+0.3*478851.84</f>
        <v>182334.50200000001</v>
      </c>
      <c r="G207" s="18">
        <v>8703.2800000000007</v>
      </c>
      <c r="H207" s="18">
        <f>486478.94+91303.75+41008.16+25504.12+886.39+44923.35+0.3*229755+(4995.5*0.3)</f>
        <v>760529.86</v>
      </c>
      <c r="I207" s="18">
        <f>28464.62+254713.14</f>
        <v>283177.76</v>
      </c>
      <c r="J207" s="18"/>
      <c r="K207" s="18"/>
      <c r="L207" s="19">
        <f t="shared" si="0"/>
        <v>1234745.402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0.36*1475605.78+0.36*546528.37+5684.91+25893.83+2861+3403.52+1366.99+2177.75+4105.04+1880.96+18142.02</f>
        <v>793484.31400000001</v>
      </c>
      <c r="I208" s="18"/>
      <c r="J208" s="18"/>
      <c r="K208" s="18"/>
      <c r="L208" s="19">
        <f t="shared" si="0"/>
        <v>793484.31400000001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6766142.0920000011</v>
      </c>
      <c r="G211" s="41">
        <f t="shared" si="1"/>
        <v>2903360.7786350003</v>
      </c>
      <c r="H211" s="41">
        <f t="shared" si="1"/>
        <v>2120314.227</v>
      </c>
      <c r="I211" s="41">
        <f t="shared" si="1"/>
        <v>498623.95900000003</v>
      </c>
      <c r="J211" s="41">
        <f t="shared" si="1"/>
        <v>94999.679999999993</v>
      </c>
      <c r="K211" s="41">
        <f t="shared" si="1"/>
        <v>18084.293999999998</v>
      </c>
      <c r="L211" s="41">
        <f t="shared" si="1"/>
        <v>12401525.030635001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2632698.32+99366.91+101089.49+0.3*628693.14+0.3*694337.46+0.34+1276343.99+128474-13029.83+603.16</f>
        <v>4622455.5599999996</v>
      </c>
      <c r="G215" s="18">
        <f>572949.48+0.3*86247.3+(F215*0.765%)+0.31*189906.93+47190.93+0.1*F215+0.3*45989+613151.82+245521</f>
        <v>2074962.6093339999</v>
      </c>
      <c r="H215" s="18">
        <f>8266.95+42301.11+492.21+0.3*8285.56</f>
        <v>53545.937999999995</v>
      </c>
      <c r="I215" s="18">
        <f>86191.72+4879.62+1191.18+12303.2</f>
        <v>104565.71999999999</v>
      </c>
      <c r="J215" s="18">
        <f>7987.15+15860.05+54803.54+424.58</f>
        <v>79075.319999999992</v>
      </c>
      <c r="K215" s="18">
        <v>529</v>
      </c>
      <c r="L215" s="19">
        <f>SUM(F215:K215)</f>
        <v>6935134.1473340001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418384.77+382564</f>
        <v>800948.77</v>
      </c>
      <c r="G216" s="18">
        <f>267303.68+(F216*7.65%)+0.1*F216+0.34*332876</f>
        <v>521848.97790500004</v>
      </c>
      <c r="H216" s="18">
        <f>12294+16000+354241+44733+52574.93+90690+72707.17+70000+8432+49781+73598+48063</f>
        <v>893114.1</v>
      </c>
      <c r="I216" s="18">
        <f>250.82+441.11</f>
        <v>691.93000000000006</v>
      </c>
      <c r="J216" s="18">
        <f>305.98+999</f>
        <v>1304.98</v>
      </c>
      <c r="K216" s="18"/>
      <c r="L216" s="19">
        <f>SUM(F216:K216)</f>
        <v>2217908.7579050004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f>98710+113630</f>
        <v>212340</v>
      </c>
      <c r="G217" s="18">
        <f>F217*7.65%+0.1*F217</f>
        <v>37478.01</v>
      </c>
      <c r="H217" s="18">
        <f>919.4+582.05+1585+97.11+164.38</f>
        <v>3347.94</v>
      </c>
      <c r="I217" s="18">
        <f>5645.99+7257.9</f>
        <v>12903.89</v>
      </c>
      <c r="J217" s="18">
        <v>600.76</v>
      </c>
      <c r="K217" s="18"/>
      <c r="L217" s="19">
        <f>SUM(F217:K217)</f>
        <v>266670.60000000003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102919.29</v>
      </c>
      <c r="G218" s="18">
        <f>F218*7.65%+0.1*F218</f>
        <v>18165.254685</v>
      </c>
      <c r="H218" s="18">
        <f>14547.5+11.23</f>
        <v>14558.73</v>
      </c>
      <c r="I218" s="18">
        <v>17873.25</v>
      </c>
      <c r="J218" s="18">
        <f>2099.95</f>
        <v>2099.9499999999998</v>
      </c>
      <c r="K218" s="18">
        <v>6236.36</v>
      </c>
      <c r="L218" s="19">
        <f>SUM(F218:K218)</f>
        <v>161852.83468500001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98922.63+117329.4+657.23</f>
        <v>216909.26</v>
      </c>
      <c r="G220" s="18">
        <f>30554.46+26998.44+(F220*7.65%)+0.1*F220</f>
        <v>95837.384390000007</v>
      </c>
      <c r="H220" s="18"/>
      <c r="I220" s="18">
        <f>1450.19+1947.53+115.36+549.8+55.87</f>
        <v>4118.75</v>
      </c>
      <c r="J220" s="18">
        <f>0.31*40225.83</f>
        <v>12470.007300000001</v>
      </c>
      <c r="K220" s="18"/>
      <c r="L220" s="19">
        <f t="shared" ref="L220:L226" si="2">SUM(F220:K220)</f>
        <v>329335.40169000003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140471.08+0.36*142245.6</f>
        <v>191679.49599999998</v>
      </c>
      <c r="G221" s="18">
        <f>11488.68+F221*7.65%+0.1*F221</f>
        <v>45320.111043999997</v>
      </c>
      <c r="H221" s="18">
        <f>995.96+100+(43123.32+315607.96*0.3)</f>
        <v>138901.66800000001</v>
      </c>
      <c r="I221" s="18">
        <f>1626.53+21496.93+700.81+3852.85+0.3*74988.78</f>
        <v>50173.754000000001</v>
      </c>
      <c r="J221" s="18">
        <f>5990.18-5</f>
        <v>5985.18</v>
      </c>
      <c r="K221" s="18"/>
      <c r="L221" s="19">
        <f t="shared" si="2"/>
        <v>432060.20904400002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0.34*882518.93+0.34*315141</f>
        <v>407204.37620000006</v>
      </c>
      <c r="G222" s="18">
        <f>0.0765*F222+0.3*103972+76974.2</f>
        <v>139316.93477930001</v>
      </c>
      <c r="H222" s="18">
        <f>0.3*23437.5+0.3*115421.09+0.3*32059.77</f>
        <v>51275.508000000002</v>
      </c>
      <c r="I222" s="18">
        <f>0.3*162588.92+0.3*17114.01</f>
        <v>53910.879000000001</v>
      </c>
      <c r="J222" s="18"/>
      <c r="K222" s="18">
        <f>0.3*15557.45+0.3*3074.43</f>
        <v>5589.5639999999994</v>
      </c>
      <c r="L222" s="19">
        <f t="shared" si="2"/>
        <v>657297.26197930006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153227.61+278074+14660.88</f>
        <v>445962.49</v>
      </c>
      <c r="G223" s="18">
        <f>76974.2+(F223*7.65%)+0.1*F223</f>
        <v>155686.57948499999</v>
      </c>
      <c r="H223" s="18">
        <f>981+9909.09+1039.31+2363.23+5032.1+2452.46+(48419.34+25527.97)*0.3</f>
        <v>43961.383000000002</v>
      </c>
      <c r="I223" s="18">
        <f>2493.06+1565+69</f>
        <v>4127.0599999999995</v>
      </c>
      <c r="J223" s="18">
        <v>250</v>
      </c>
      <c r="K223" s="18">
        <f>4205.01+6667.84</f>
        <v>10872.85</v>
      </c>
      <c r="L223" s="19">
        <f t="shared" si="2"/>
        <v>660860.36248500005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99520.9+4125.15+0.34*478851.84</f>
        <v>266455.67560000002</v>
      </c>
      <c r="G225" s="18">
        <f>26998.44+(F225*7.65%)+0.1*F225</f>
        <v>74027.866743399994</v>
      </c>
      <c r="H225" s="18">
        <f>226717.93+17271.04+10457.58+41335.54+63868.82+11955.14+12076.55+10197.24+92215.94+511.02+1579.82+0.31*229755</f>
        <v>559410.67000000004</v>
      </c>
      <c r="I225" s="18">
        <f>25470.9+111227.38+3213.17+58529.89</f>
        <v>198441.34000000003</v>
      </c>
      <c r="J225" s="18"/>
      <c r="K225" s="18"/>
      <c r="L225" s="19">
        <f t="shared" si="2"/>
        <v>1098335.5523434002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0.34*1475605.78+0.34*546426.37+943.41+9121.49+25097.65+15321.13+11390.38-22466.57-18142.02</f>
        <v>708756.40100000019</v>
      </c>
      <c r="I226" s="18"/>
      <c r="J226" s="18"/>
      <c r="K226" s="18"/>
      <c r="L226" s="19">
        <f t="shared" si="2"/>
        <v>708756.40100000019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7266874.9177999999</v>
      </c>
      <c r="G229" s="41">
        <f>SUM(G215:G228)</f>
        <v>3162643.7283656998</v>
      </c>
      <c r="H229" s="41">
        <f>SUM(H215:H228)</f>
        <v>2466872.338</v>
      </c>
      <c r="I229" s="41">
        <f>SUM(I215:I228)</f>
        <v>446806.57300000003</v>
      </c>
      <c r="J229" s="41">
        <f>SUM(J215:J228)</f>
        <v>101786.19729999997</v>
      </c>
      <c r="K229" s="41">
        <f t="shared" si="3"/>
        <v>23227.773999999998</v>
      </c>
      <c r="L229" s="41">
        <f t="shared" si="3"/>
        <v>13468211.528465703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2367537.83+30246.76+31500+104411.32+0.31*629693.14+0.3*694337.46+0.36*1276943.99</f>
        <v>3396901.8577999994</v>
      </c>
      <c r="G233" s="18">
        <f>425723.5+0.3*86247.3+(F233*7.65%)+0.3*189906.93+0.1*F233+0.3*45989+0.1*F233+572949.46</f>
        <v>2034559.2926816999</v>
      </c>
      <c r="H233" s="18">
        <f>609.4+42587.48+2650+345.38+48674.56+0.3*8285.56</f>
        <v>97352.488000000012</v>
      </c>
      <c r="I233" s="18">
        <f>71933.76+150+13452.45+1328.93+19952.07</f>
        <v>106817.20999999999</v>
      </c>
      <c r="J233" s="18">
        <f>860.76+6542.68+37357.62+620.57</f>
        <v>45381.630000000005</v>
      </c>
      <c r="K233" s="18">
        <v>4037</v>
      </c>
      <c r="L233" s="19">
        <f>SUM(F233:K233)</f>
        <v>5685049.4784816988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250942.17+184198.68+83774+48475.47+307757+377908.51+20</f>
        <v>1253075.83</v>
      </c>
      <c r="G234" s="18">
        <f>326135.66+(F234*7.65%)+0.1*F234+0.33*332876+267303</f>
        <v>924455.62399499991</v>
      </c>
      <c r="H234" s="18">
        <f>1889.39+4470.42+354241</f>
        <v>360600.81</v>
      </c>
      <c r="I234" s="18">
        <f>1137.57+5.02+335.17+5234.66+234.18+100-10</f>
        <v>7036.6</v>
      </c>
      <c r="J234" s="18">
        <f>0.7*10155.19</f>
        <v>7108.6329999999998</v>
      </c>
      <c r="K234" s="18"/>
      <c r="L234" s="19">
        <f>SUM(F234:K234)</f>
        <v>2552277.4969950002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f>40143+51570+53356+67632+63226+50545</f>
        <v>326472</v>
      </c>
      <c r="G235" s="18">
        <f>58017.96+(F235*7.65%)+0.1*F235</f>
        <v>115640.268</v>
      </c>
      <c r="H235" s="18">
        <f>2161.53+200.97</f>
        <v>2362.5</v>
      </c>
      <c r="I235" s="18">
        <f>1973.29+546.98+144.94+3641.66+6831.59+1241.39+757.92+1079.01+4157.04+3274+2965.63+46+52.06</f>
        <v>26711.510000000002</v>
      </c>
      <c r="J235" s="18">
        <f>3627.58+916+2464</f>
        <v>7007.58</v>
      </c>
      <c r="K235" s="18"/>
      <c r="L235" s="19">
        <f>SUM(F235:K235)</f>
        <v>478193.85800000001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31764.2+84725+238095.8</f>
        <v>354585</v>
      </c>
      <c r="G236" s="18">
        <f>32742.78+(F236*7.65%)+0.1*F236</f>
        <v>95327.032500000001</v>
      </c>
      <c r="H236" s="18">
        <f>104067.98+13553.5+8627.75</f>
        <v>126249.23</v>
      </c>
      <c r="I236" s="18">
        <v>16105.45</v>
      </c>
      <c r="J236" s="18">
        <f>34240.28+1489</f>
        <v>35729.279999999999</v>
      </c>
      <c r="K236" s="18">
        <f>42233.42+16729.49</f>
        <v>58962.91</v>
      </c>
      <c r="L236" s="19">
        <f>SUM(F236:K236)</f>
        <v>686958.90249999997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283754.96+74625.24+90326+21744.27+52342.6+43635.98</f>
        <v>566429.05000000005</v>
      </c>
      <c r="G238" s="18">
        <f>100526.12+31019.52+(F238*7.65%)+0.1*F238+30554+26998</f>
        <v>289072.367325</v>
      </c>
      <c r="H238" s="18">
        <f>523.35+14764.78</f>
        <v>15288.130000000001</v>
      </c>
      <c r="I238" s="18">
        <f>1165.6+122.34+60+21390.52+1907.36</f>
        <v>24645.82</v>
      </c>
      <c r="J238" s="18">
        <f>0.3*4025</f>
        <v>1207.5</v>
      </c>
      <c r="K238" s="18">
        <v>3721.31</v>
      </c>
      <c r="L238" s="19">
        <f t="shared" ref="L238:L244" si="4">SUM(F238:K238)</f>
        <v>900364.17732500006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40143+20196.95</f>
        <v>60339.95</v>
      </c>
      <c r="G239" s="18">
        <f>F239*7.65%+0.1*F239+11488.68</f>
        <v>22138.681174999998</v>
      </c>
      <c r="H239" s="18">
        <f>3288.06+(43123.22+315607.96*0.3)+0.3*32057.77</f>
        <v>150710.99900000001</v>
      </c>
      <c r="I239" s="18">
        <f>1293.11+13170.68+13299.81+140+74988.78*3</f>
        <v>252869.94</v>
      </c>
      <c r="J239" s="18">
        <f>0.3*40225.83</f>
        <v>12067.749</v>
      </c>
      <c r="K239" s="18"/>
      <c r="L239" s="19">
        <f t="shared" si="4"/>
        <v>498127.31917500001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0.36*882518.93+0.36*315341</f>
        <v>431229.5748</v>
      </c>
      <c r="G240" s="18">
        <f>0.0765*F240+0.34*103972+26998.44</f>
        <v>95337.982472200005</v>
      </c>
      <c r="H240" s="18">
        <f>0.3*23437.5+0.3*115421.09</f>
        <v>41657.576999999997</v>
      </c>
      <c r="I240" s="18">
        <f>0.31*162588.92+0.3*17114.01</f>
        <v>55536.768200000006</v>
      </c>
      <c r="J240" s="18"/>
      <c r="K240" s="18">
        <f>0.31*15557.45+0.3*3074.43</f>
        <v>5745.1385</v>
      </c>
      <c r="L240" s="19">
        <f t="shared" si="4"/>
        <v>629507.04097220011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50850.6+89870.38+300888.99+4000+26217.88+80000+47988</f>
        <v>599815.85</v>
      </c>
      <c r="G241" s="18">
        <f>53996.88+21254.1+(F241*7.65%)+0.5*14721+0.1*F241</f>
        <v>188478.97752499999</v>
      </c>
      <c r="H241" s="18">
        <f>7700.34+425.5+(48419.34+25527.97)*0.3</f>
        <v>30310.032999999999</v>
      </c>
      <c r="I241" s="18">
        <f>515.77+170.82+684.4</f>
        <v>1370.9899999999998</v>
      </c>
      <c r="J241" s="18"/>
      <c r="K241" s="18">
        <f>20697.69+12577.48+12117</f>
        <v>45392.17</v>
      </c>
      <c r="L241" s="19">
        <f t="shared" si="4"/>
        <v>865368.02052500006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94721.67+4632.68+29497.13+52300.09+0.36*478851.84</f>
        <v>353538.23239999998</v>
      </c>
      <c r="G243" s="18">
        <f>35943.24+11308.54+(F243*7.65%)+0.1*F243</f>
        <v>109651.27801859999</v>
      </c>
      <c r="H243" s="18">
        <f>194149.54+23611.76+13008.78+58438+260922.14+12730.81+42326.35+56648.4729+6105.19+101173.74+0.3*229755</f>
        <v>838041.28289999999</v>
      </c>
      <c r="I243" s="18">
        <f>22713.57+163391.53+16162.78+49248.39+72.68</f>
        <v>251588.95</v>
      </c>
      <c r="J243" s="18">
        <v>35012</v>
      </c>
      <c r="K243" s="18"/>
      <c r="L243" s="19">
        <f t="shared" si="4"/>
        <v>1587831.7433185999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0.3*1475605.78+0.3*546526.17+79810.75+482.1+828.69+6436.82+321.44+707.57-199.95</f>
        <v>695027.00499999977</v>
      </c>
      <c r="I244" s="18"/>
      <c r="J244" s="18"/>
      <c r="K244" s="18"/>
      <c r="L244" s="19">
        <f t="shared" si="4"/>
        <v>695027.00499999977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9262.4</v>
      </c>
      <c r="I245" s="18"/>
      <c r="J245" s="18"/>
      <c r="K245" s="18"/>
      <c r="L245" s="19">
        <f>SUM(F245:K245)</f>
        <v>9262.4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7342387.3449999988</v>
      </c>
      <c r="G247" s="41">
        <f t="shared" si="5"/>
        <v>3874661.5036924998</v>
      </c>
      <c r="H247" s="41">
        <f t="shared" si="5"/>
        <v>2366862.4548999998</v>
      </c>
      <c r="I247" s="41">
        <f t="shared" si="5"/>
        <v>742683.23820000002</v>
      </c>
      <c r="J247" s="41">
        <f t="shared" si="5"/>
        <v>143514.372</v>
      </c>
      <c r="K247" s="41">
        <f t="shared" si="5"/>
        <v>117858.5285</v>
      </c>
      <c r="L247" s="41">
        <f t="shared" si="5"/>
        <v>14587967.442292497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21375404.354800001</v>
      </c>
      <c r="G257" s="41">
        <f t="shared" si="8"/>
        <v>9940666.0106931999</v>
      </c>
      <c r="H257" s="41">
        <f t="shared" si="8"/>
        <v>6954049.0198999997</v>
      </c>
      <c r="I257" s="41">
        <f t="shared" si="8"/>
        <v>1688113.7702000001</v>
      </c>
      <c r="J257" s="41">
        <f t="shared" si="8"/>
        <v>340300.24929999997</v>
      </c>
      <c r="K257" s="41">
        <f t="shared" si="8"/>
        <v>159170.59649999999</v>
      </c>
      <c r="L257" s="41">
        <f t="shared" si="8"/>
        <v>40457704.001393199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360000</v>
      </c>
      <c r="L260" s="19">
        <f>SUM(F260:K260)</f>
        <v>360000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98595</v>
      </c>
      <c r="L261" s="19">
        <f>SUM(F261:K261)</f>
        <v>98595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75000</v>
      </c>
      <c r="L263" s="19">
        <f>SUM(F263:K263)</f>
        <v>75000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500000</v>
      </c>
      <c r="L266" s="19">
        <f t="shared" si="9"/>
        <v>500000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1033595</v>
      </c>
      <c r="L270" s="41">
        <f t="shared" si="9"/>
        <v>1033595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21375404.354800001</v>
      </c>
      <c r="G271" s="42">
        <f t="shared" si="11"/>
        <v>9940666.0106931999</v>
      </c>
      <c r="H271" s="42">
        <f t="shared" si="11"/>
        <v>6954049.0198999997</v>
      </c>
      <c r="I271" s="42">
        <f t="shared" si="11"/>
        <v>1688113.7702000001</v>
      </c>
      <c r="J271" s="42">
        <f t="shared" si="11"/>
        <v>340300.24929999997</v>
      </c>
      <c r="K271" s="42">
        <f t="shared" si="11"/>
        <v>1192765.5965</v>
      </c>
      <c r="L271" s="42">
        <f t="shared" si="11"/>
        <v>41491299.001393199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3672.77+99221.74+19823.81+19823.81+102014+9734.85</f>
        <v>254290.98</v>
      </c>
      <c r="G276" s="18">
        <f>280.94+575.51+37223.28+1059.6+192+214.75+7136.82+14133.8+268.9+48+43.71+1516.58+3106.4+5908.48+264.9+48+43.74+1516.4+3106.4+25504.8+1059.6+192+255.04+7571.81+15985.57+15548.05+741.74+1525.45</f>
        <v>145072.26999999996</v>
      </c>
      <c r="H276" s="18">
        <f>26.67</f>
        <v>26.67</v>
      </c>
      <c r="I276" s="18">
        <f>18.33+688.47</f>
        <v>706.80000000000007</v>
      </c>
      <c r="J276" s="18"/>
      <c r="K276" s="18">
        <f>300+200+147.08+300+499.08</f>
        <v>1446.16</v>
      </c>
      <c r="L276" s="19">
        <f>SUM(F276:K276)</f>
        <v>401542.87999999995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4030.75+186711.3</f>
        <v>190742.05</v>
      </c>
      <c r="G277" s="18">
        <f>47103.58+1677.7+307.2+321.45+14565.77+450.23+19332.2</f>
        <v>83758.13</v>
      </c>
      <c r="H277" s="18">
        <f>126549+7172.4+9158.23+25975+6221</f>
        <v>175075.63</v>
      </c>
      <c r="I277" s="18"/>
      <c r="J277" s="18"/>
      <c r="K277" s="18"/>
      <c r="L277" s="19">
        <f>SUM(F277:K277)</f>
        <v>449575.81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746.89+25130.82+4619.24</f>
        <v>30496.949999999997</v>
      </c>
      <c r="I281" s="18">
        <f>1336.1+666.65</f>
        <v>2002.75</v>
      </c>
      <c r="J281" s="18">
        <f>615.19</f>
        <v>615.19000000000005</v>
      </c>
      <c r="K281" s="18"/>
      <c r="L281" s="19">
        <f t="shared" ref="L281:L287" si="12">SUM(F281:K281)</f>
        <v>33114.89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0.34*21600</f>
        <v>7344.0000000000009</v>
      </c>
      <c r="G282" s="18"/>
      <c r="H282" s="18">
        <f>0.34*44250+0.34*44500+3000+6794.24+0.34*15000+3558+2280.24+0.34*17334.15+0.34*3558+1321.73+0.34*6462+0.34*18616</f>
        <v>67859.061000000002</v>
      </c>
      <c r="I282" s="18"/>
      <c r="J282" s="18"/>
      <c r="K282" s="18"/>
      <c r="L282" s="19">
        <f t="shared" si="12"/>
        <v>75203.061000000002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f>9874.53</f>
        <v>9874.5300000000007</v>
      </c>
      <c r="G284" s="18">
        <f>731.18+1547.33</f>
        <v>2278.5099999999998</v>
      </c>
      <c r="H284" s="18"/>
      <c r="I284" s="18"/>
      <c r="J284" s="18"/>
      <c r="K284" s="18"/>
      <c r="L284" s="19">
        <f t="shared" si="12"/>
        <v>12153.04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3569.2</f>
        <v>3569.2</v>
      </c>
      <c r="I287" s="18"/>
      <c r="J287" s="18"/>
      <c r="K287" s="18"/>
      <c r="L287" s="19">
        <f t="shared" si="12"/>
        <v>3569.2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462251.56000000006</v>
      </c>
      <c r="G290" s="42">
        <f t="shared" si="13"/>
        <v>231108.90999999997</v>
      </c>
      <c r="H290" s="42">
        <f t="shared" si="13"/>
        <v>277027.511</v>
      </c>
      <c r="I290" s="42">
        <f t="shared" si="13"/>
        <v>2709.55</v>
      </c>
      <c r="J290" s="42">
        <f t="shared" si="13"/>
        <v>615.19000000000005</v>
      </c>
      <c r="K290" s="42">
        <f t="shared" si="13"/>
        <v>1446.16</v>
      </c>
      <c r="L290" s="41">
        <f t="shared" si="13"/>
        <v>975158.88099999994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58116.09</f>
        <v>58116.09</v>
      </c>
      <c r="G296" s="18">
        <f>22058.22+794.7+144+188.33+4313.34+8808.43</f>
        <v>36307.020000000004</v>
      </c>
      <c r="H296" s="18"/>
      <c r="I296" s="18"/>
      <c r="J296" s="18"/>
      <c r="K296" s="18"/>
      <c r="L296" s="19">
        <f>SUM(F296:K296)</f>
        <v>94423.11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1900+0.33*21600</f>
        <v>9028</v>
      </c>
      <c r="G300" s="18"/>
      <c r="H300" s="18">
        <f>1308+2242.4+3300+1925.99</f>
        <v>8776.39</v>
      </c>
      <c r="I300" s="18"/>
      <c r="J300" s="18"/>
      <c r="K300" s="18"/>
      <c r="L300" s="19">
        <f t="shared" ref="L300:L306" si="14">SUM(F300:K300)</f>
        <v>17804.39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f>0.33*44250+0.33*44500+0.33*15000+0.33*17334.15+0.33*3558+0.34*6462+0.33*18616</f>
        <v>49472.269500000002</v>
      </c>
      <c r="I301" s="18"/>
      <c r="J301" s="18"/>
      <c r="K301" s="18"/>
      <c r="L301" s="19">
        <f t="shared" si="14"/>
        <v>49472.269500000002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>
        <v>1879.08</v>
      </c>
      <c r="I302" s="18"/>
      <c r="J302" s="18"/>
      <c r="K302" s="18"/>
      <c r="L302" s="19">
        <f t="shared" si="14"/>
        <v>1879.08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67144.09</v>
      </c>
      <c r="G309" s="42">
        <f t="shared" si="15"/>
        <v>36307.020000000004</v>
      </c>
      <c r="H309" s="42">
        <f t="shared" si="15"/>
        <v>60127.739500000003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163578.84949999998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>
        <f>576.61+1266.48</f>
        <v>1843.0900000000001</v>
      </c>
      <c r="I316" s="18">
        <f>3077.47</f>
        <v>3077.47</v>
      </c>
      <c r="J316" s="18">
        <f>3604.88+34044.96+20996.14</f>
        <v>58645.979999999996</v>
      </c>
      <c r="K316" s="18">
        <v>2831.9</v>
      </c>
      <c r="L316" s="19">
        <f>SUM(F316:K316)</f>
        <v>66398.439999999988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0.33*21600</f>
        <v>7128</v>
      </c>
      <c r="G320" s="18"/>
      <c r="H320" s="18">
        <f>0.33*44250+0.33*44500+0.33*15000+0.34*17334.15+0.33*3558+2280.24+17334.15+0.33*6462+0.33*18616-361.44</f>
        <v>68833.941000000006</v>
      </c>
      <c r="I320" s="18"/>
      <c r="J320" s="18"/>
      <c r="K320" s="18"/>
      <c r="L320" s="19">
        <f t="shared" si="16"/>
        <v>75961.941000000006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7128</v>
      </c>
      <c r="G328" s="42">
        <f t="shared" si="17"/>
        <v>0</v>
      </c>
      <c r="H328" s="42">
        <f t="shared" si="17"/>
        <v>70677.031000000003</v>
      </c>
      <c r="I328" s="42">
        <f t="shared" si="17"/>
        <v>3077.47</v>
      </c>
      <c r="J328" s="42">
        <f t="shared" si="17"/>
        <v>58645.979999999996</v>
      </c>
      <c r="K328" s="42">
        <f t="shared" si="17"/>
        <v>2831.9</v>
      </c>
      <c r="L328" s="41">
        <f t="shared" si="17"/>
        <v>142360.38099999999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7400</v>
      </c>
      <c r="G333" s="18">
        <f>566.1+1159.58</f>
        <v>1725.6799999999998</v>
      </c>
      <c r="H333" s="18"/>
      <c r="I333" s="18"/>
      <c r="J333" s="18"/>
      <c r="K333" s="18"/>
      <c r="L333" s="19">
        <f t="shared" si="18"/>
        <v>9125.68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7400</v>
      </c>
      <c r="G337" s="41">
        <f t="shared" si="19"/>
        <v>1725.6799999999998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9125.68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543923.65</v>
      </c>
      <c r="G338" s="41">
        <f t="shared" si="20"/>
        <v>269141.61</v>
      </c>
      <c r="H338" s="41">
        <f t="shared" si="20"/>
        <v>407832.28150000004</v>
      </c>
      <c r="I338" s="41">
        <f t="shared" si="20"/>
        <v>5787.02</v>
      </c>
      <c r="J338" s="41">
        <f t="shared" si="20"/>
        <v>59261.17</v>
      </c>
      <c r="K338" s="41">
        <f t="shared" si="20"/>
        <v>4278.0600000000004</v>
      </c>
      <c r="L338" s="41">
        <f t="shared" si="20"/>
        <v>1290223.7914999998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543923.65</v>
      </c>
      <c r="G352" s="41">
        <f>G338</f>
        <v>269141.61</v>
      </c>
      <c r="H352" s="41">
        <f>H338</f>
        <v>407832.28150000004</v>
      </c>
      <c r="I352" s="41">
        <f>I338</f>
        <v>5787.02</v>
      </c>
      <c r="J352" s="41">
        <f>J338</f>
        <v>59261.17</v>
      </c>
      <c r="K352" s="47">
        <f>K338+K351</f>
        <v>4278.0600000000004</v>
      </c>
      <c r="L352" s="41">
        <f>L338+L351</f>
        <v>1290223.7914999998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0.3*1039971.47+0.3*10548.25+0.3*3926.71</f>
        <v>316333.92899999995</v>
      </c>
      <c r="I358" s="18"/>
      <c r="J358" s="18">
        <f>0.3*1559.36</f>
        <v>467.80799999999994</v>
      </c>
      <c r="K358" s="18">
        <v>215.95</v>
      </c>
      <c r="L358" s="13">
        <f>SUM(F358:K358)</f>
        <v>317017.68699999998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>0.34*1039971.47+0.34*10548.25+0.34*3926.71+1346.62</f>
        <v>359858.40620000008</v>
      </c>
      <c r="I359" s="18"/>
      <c r="J359" s="18">
        <f>0.34*1559.36</f>
        <v>530.18240000000003</v>
      </c>
      <c r="K359" s="18"/>
      <c r="L359" s="19">
        <f>SUM(F359:K359)</f>
        <v>360388.58860000008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0.34*1039971.47+0.36*10548.25+0.36*3926.71</f>
        <v>358801.28540000005</v>
      </c>
      <c r="I360" s="18"/>
      <c r="J360" s="18">
        <f>0.36*1559.36</f>
        <v>561.36959999999999</v>
      </c>
      <c r="K360" s="18">
        <v>3202.54</v>
      </c>
      <c r="L360" s="19">
        <f>SUM(F360:K360)</f>
        <v>362565.19500000001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1034993.6206000001</v>
      </c>
      <c r="I362" s="47">
        <f t="shared" si="22"/>
        <v>0</v>
      </c>
      <c r="J362" s="47">
        <f t="shared" si="22"/>
        <v>1559.36</v>
      </c>
      <c r="K362" s="47">
        <f t="shared" si="22"/>
        <v>3418.49</v>
      </c>
      <c r="L362" s="47">
        <f t="shared" si="22"/>
        <v>1039971.4706000001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>
        <v>100000</v>
      </c>
      <c r="H395" s="18">
        <v>199.63</v>
      </c>
      <c r="I395" s="18"/>
      <c r="J395" s="24" t="s">
        <v>288</v>
      </c>
      <c r="K395" s="24" t="s">
        <v>288</v>
      </c>
      <c r="L395" s="56">
        <f t="shared" ref="L395:L400" si="26">SUM(F395:K395)</f>
        <v>100199.63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150000</v>
      </c>
      <c r="H396" s="18">
        <v>530.24</v>
      </c>
      <c r="I396" s="18"/>
      <c r="J396" s="24" t="s">
        <v>288</v>
      </c>
      <c r="K396" s="24" t="s">
        <v>288</v>
      </c>
      <c r="L396" s="56">
        <f t="shared" si="26"/>
        <v>150530.23999999999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50000</v>
      </c>
      <c r="H397" s="18">
        <v>378.3</v>
      </c>
      <c r="I397" s="18"/>
      <c r="J397" s="24" t="s">
        <v>288</v>
      </c>
      <c r="K397" s="24" t="s">
        <v>288</v>
      </c>
      <c r="L397" s="56">
        <f t="shared" si="26"/>
        <v>50378.3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f>100000+100000</f>
        <v>200000</v>
      </c>
      <c r="H400" s="18">
        <f>66.37+132.97</f>
        <v>199.34</v>
      </c>
      <c r="I400" s="18"/>
      <c r="J400" s="24" t="s">
        <v>288</v>
      </c>
      <c r="K400" s="24" t="s">
        <v>288</v>
      </c>
      <c r="L400" s="56">
        <f t="shared" si="26"/>
        <v>200199.34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500000</v>
      </c>
      <c r="H401" s="47">
        <f>SUM(H395:H400)</f>
        <v>1307.51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501307.51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500000</v>
      </c>
      <c r="H408" s="47">
        <f>H393+H401+H407</f>
        <v>1307.51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501307.51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4"/>
      <c r="G439" s="4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f>799478.7</f>
        <v>799478.7</v>
      </c>
      <c r="G440" s="18">
        <f>570377.74+200487.9+300997.23+100066.37</f>
        <v>1171929.2400000002</v>
      </c>
      <c r="H440" s="18"/>
      <c r="I440" s="56">
        <f>SUM(F440:H440)</f>
        <v>1971407.9400000002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SUM(F440:F445)</f>
        <v>799478.7</v>
      </c>
      <c r="G446" s="13">
        <f>SUM(G440:G445)</f>
        <v>1171929.2400000002</v>
      </c>
      <c r="H446" s="13">
        <f>SUM(H439:H445)</f>
        <v>0</v>
      </c>
      <c r="I446" s="13">
        <f>SUM(I439:I445)</f>
        <v>1971407.9400000002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799478.7</v>
      </c>
      <c r="G459" s="18">
        <v>1171929.24</v>
      </c>
      <c r="H459" s="18"/>
      <c r="I459" s="56">
        <f t="shared" si="34"/>
        <v>1971407.94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799478.7</v>
      </c>
      <c r="G460" s="83">
        <f>SUM(G454:G459)</f>
        <v>1171929.24</v>
      </c>
      <c r="H460" s="83">
        <f>SUM(H454:H459)</f>
        <v>0</v>
      </c>
      <c r="I460" s="83">
        <f>SUM(I454:I459)</f>
        <v>1971407.94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799478.7</v>
      </c>
      <c r="G461" s="42">
        <f>G452+G460</f>
        <v>1171929.24</v>
      </c>
      <c r="H461" s="42">
        <f>H452+H460</f>
        <v>0</v>
      </c>
      <c r="I461" s="42">
        <f>I452+I460</f>
        <v>1971407.94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2143284.44+354305.93</f>
        <v>2497590.37</v>
      </c>
      <c r="G465" s="18">
        <f>-25810.84-28881.3</f>
        <v>-54692.14</v>
      </c>
      <c r="H465" s="18">
        <f>271514.51</f>
        <v>271514.51</v>
      </c>
      <c r="I465" s="18"/>
      <c r="J465" s="18">
        <f>1464440.75+5659.88-0.2</f>
        <v>1470100.43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42296457.409999996</v>
      </c>
      <c r="G468" s="18">
        <f>G193</f>
        <v>1018983.49</v>
      </c>
      <c r="H468" s="18">
        <f>1290223.79</f>
        <v>1290223.79</v>
      </c>
      <c r="I468" s="18"/>
      <c r="J468" s="18">
        <f>L408</f>
        <v>501307.51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59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42296457.409999996</v>
      </c>
      <c r="G470" s="53">
        <f>SUM(G468:G469)</f>
        <v>1019042.49</v>
      </c>
      <c r="H470" s="53">
        <f>SUM(H468:H469)</f>
        <v>1290223.79</v>
      </c>
      <c r="I470" s="53">
        <f>SUM(I468:I469)</f>
        <v>0</v>
      </c>
      <c r="J470" s="53">
        <f>SUM(J468:J469)</f>
        <v>501307.51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41491299.001393199</v>
      </c>
      <c r="G472" s="18">
        <f>L362</f>
        <v>1039971.4706000001</v>
      </c>
      <c r="H472" s="18">
        <f>1290223.79</f>
        <v>1290223.79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f>199.5+0.45</f>
        <v>199.95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41491498.951393202</v>
      </c>
      <c r="G474" s="53">
        <f>SUM(G472:G473)</f>
        <v>1039971.4706000001</v>
      </c>
      <c r="H474" s="53">
        <f>SUM(H472:H473)</f>
        <v>1290223.79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3302548.8286067918</v>
      </c>
      <c r="G476" s="53">
        <f>(G465+G470)- G474</f>
        <v>-75621.12060000014</v>
      </c>
      <c r="H476" s="53">
        <f>(H465+H470)- H474</f>
        <v>271514.51</v>
      </c>
      <c r="I476" s="53">
        <f>(I465+I470)- I474</f>
        <v>0</v>
      </c>
      <c r="J476" s="53">
        <f>(J465+J470)- J474</f>
        <v>1971407.94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3575000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1.6918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2495000</v>
      </c>
      <c r="G495" s="18"/>
      <c r="H495" s="18"/>
      <c r="I495" s="18"/>
      <c r="J495" s="18"/>
      <c r="K495" s="53">
        <f>SUM(F495:J495)</f>
        <v>2495000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360000</v>
      </c>
      <c r="G497" s="18"/>
      <c r="H497" s="18"/>
      <c r="I497" s="18"/>
      <c r="J497" s="18"/>
      <c r="K497" s="53">
        <f t="shared" si="35"/>
        <v>360000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2135000</v>
      </c>
      <c r="G498" s="204"/>
      <c r="H498" s="204"/>
      <c r="I498" s="204"/>
      <c r="J498" s="204"/>
      <c r="K498" s="205">
        <f t="shared" si="35"/>
        <v>2135000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2135000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2135000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360000</v>
      </c>
      <c r="G501" s="204"/>
      <c r="H501" s="204"/>
      <c r="I501" s="204"/>
      <c r="J501" s="204"/>
      <c r="K501" s="205">
        <f t="shared" si="35"/>
        <v>360000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49297.5+49297.5</f>
        <v>98595</v>
      </c>
      <c r="G502" s="18"/>
      <c r="H502" s="18"/>
      <c r="I502" s="18"/>
      <c r="J502" s="18"/>
      <c r="K502" s="53">
        <f t="shared" si="35"/>
        <v>98595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458595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458595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51205.8+127424.05+90683+40684+48539+68924+63249+18110+64650</f>
        <v>573468.85</v>
      </c>
      <c r="G521" s="18">
        <f>F521*0.43</f>
        <v>246591.60549999998</v>
      </c>
      <c r="H521" s="18">
        <f>F582</f>
        <v>10524.5</v>
      </c>
      <c r="I521" s="18">
        <f>4712.05+39.97+2939.99+226+250.82+441.11</f>
        <v>8609.94</v>
      </c>
      <c r="J521" s="18"/>
      <c r="K521" s="18"/>
      <c r="L521" s="88">
        <f>SUM(F521:K521)</f>
        <v>839194.89549999987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0.4*89333+0.4*120785.75+201899.77+216485</f>
        <v>502432.27</v>
      </c>
      <c r="G522" s="18">
        <f>F522*0.4</f>
        <v>200972.90800000002</v>
      </c>
      <c r="H522" s="18">
        <f>1889.39+1137.57+15.02+335.17+G582</f>
        <v>204837.93000000002</v>
      </c>
      <c r="I522" s="18">
        <f>3443.42+2053.58+389.88</f>
        <v>5886.88</v>
      </c>
      <c r="J522" s="18">
        <f>860.7+305.98+999</f>
        <v>2165.6800000000003</v>
      </c>
      <c r="K522" s="18"/>
      <c r="L522" s="88">
        <f>SUM(F522:K522)</f>
        <v>916295.66800000018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0.6*89333+0.6*120785.75+250942</f>
        <v>377013.25</v>
      </c>
      <c r="G523" s="18">
        <f>F523*0.4</f>
        <v>150805.30000000002</v>
      </c>
      <c r="H523" s="18">
        <f>H583</f>
        <v>406815.93</v>
      </c>
      <c r="I523" s="18">
        <v>3757.39</v>
      </c>
      <c r="J523" s="18"/>
      <c r="K523" s="18"/>
      <c r="L523" s="88">
        <f>SUM(F523:K523)</f>
        <v>938391.87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1452914.37</v>
      </c>
      <c r="G524" s="108">
        <f t="shared" ref="G524:L524" si="36">SUM(G521:G523)</f>
        <v>598369.81350000005</v>
      </c>
      <c r="H524" s="108">
        <f t="shared" si="36"/>
        <v>622178.36</v>
      </c>
      <c r="I524" s="108">
        <f t="shared" si="36"/>
        <v>18254.21</v>
      </c>
      <c r="J524" s="108">
        <f t="shared" si="36"/>
        <v>2165.6800000000003</v>
      </c>
      <c r="K524" s="108">
        <f t="shared" si="36"/>
        <v>0</v>
      </c>
      <c r="L524" s="89">
        <f t="shared" si="36"/>
        <v>2693882.4335000003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0.3*281459+0.3*272885.85+0.3*111593+0.3*274667.35</f>
        <v>282181.55999999994</v>
      </c>
      <c r="G526" s="18"/>
      <c r="H526" s="18"/>
      <c r="I526" s="18">
        <f>0.3*10785.29+787.7</f>
        <v>4023.2870000000003</v>
      </c>
      <c r="J526" s="18">
        <v>6167.26</v>
      </c>
      <c r="K526" s="18">
        <f>0.3*870</f>
        <v>261</v>
      </c>
      <c r="L526" s="88">
        <f>SUM(F526:K526)</f>
        <v>292633.10699999996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0.34*281459+0.34*272885.85+0.34*111593+0.34*274667.35+0.3*274667.35</f>
        <v>402205.973</v>
      </c>
      <c r="G527" s="18"/>
      <c r="H527" s="18"/>
      <c r="I527" s="18">
        <f>0.34*10785.29</f>
        <v>3666.9986000000004</v>
      </c>
      <c r="J527" s="18"/>
      <c r="K527" s="18">
        <f>0.34*870</f>
        <v>295.8</v>
      </c>
      <c r="L527" s="88">
        <f>SUM(F527:K527)</f>
        <v>406168.77159999998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0.36*281459+0.36*272885.85+0.36*111593+0.36*274667.35</f>
        <v>338617.87199999997</v>
      </c>
      <c r="G528" s="18"/>
      <c r="H528" s="18"/>
      <c r="I528" s="18">
        <f>0.36*10785.29</f>
        <v>3882.7044000000001</v>
      </c>
      <c r="J528" s="18"/>
      <c r="K528" s="18">
        <f>0.36*870</f>
        <v>313.2</v>
      </c>
      <c r="L528" s="88">
        <f>SUM(F528:K528)</f>
        <v>342813.77639999997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1023005.4049999999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11572.990000000002</v>
      </c>
      <c r="J529" s="89">
        <f t="shared" si="37"/>
        <v>6167.26</v>
      </c>
      <c r="K529" s="89">
        <f t="shared" si="37"/>
        <v>870</v>
      </c>
      <c r="L529" s="89">
        <f t="shared" si="37"/>
        <v>1041615.6549999999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0.3*283018.97</f>
        <v>84905.690999999992</v>
      </c>
      <c r="G531" s="18">
        <f>0.3*37994.9</f>
        <v>11398.47</v>
      </c>
      <c r="H531" s="18"/>
      <c r="I531" s="18"/>
      <c r="J531" s="18"/>
      <c r="K531" s="18"/>
      <c r="L531" s="88">
        <f>SUM(F531:K531)</f>
        <v>96304.160999999993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0.3*(78102.14+199244.97)</f>
        <v>83204.132999999987</v>
      </c>
      <c r="G532" s="18">
        <f t="shared" ref="G532:G533" si="38">0.3*37994.78</f>
        <v>11398.433999999999</v>
      </c>
      <c r="H532" s="18"/>
      <c r="I532" s="18"/>
      <c r="J532" s="18"/>
      <c r="K532" s="18"/>
      <c r="L532" s="88">
        <f>SUM(F532:K532)</f>
        <v>94602.566999999981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0.3*(78102.14+199244.97)</f>
        <v>83204.132999999987</v>
      </c>
      <c r="G533" s="18">
        <f t="shared" si="38"/>
        <v>11398.433999999999</v>
      </c>
      <c r="H533" s="18"/>
      <c r="I533" s="18"/>
      <c r="J533" s="18"/>
      <c r="K533" s="18"/>
      <c r="L533" s="88">
        <f>SUM(F533:K533)</f>
        <v>94602.566999999981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251313.95699999994</v>
      </c>
      <c r="G534" s="89">
        <f t="shared" ref="G534:L534" si="39">SUM(G531:G533)</f>
        <v>34195.337999999996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285509.29499999993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95280.08*0.3</f>
        <v>28584.024000000001</v>
      </c>
      <c r="I536" s="18"/>
      <c r="J536" s="18"/>
      <c r="K536" s="18"/>
      <c r="L536" s="88">
        <f>SUM(F536:K536)</f>
        <v>28584.024000000001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95280.08*0.32</f>
        <v>30489.625599999999</v>
      </c>
      <c r="I537" s="18"/>
      <c r="J537" s="18"/>
      <c r="K537" s="18"/>
      <c r="L537" s="88">
        <f>SUM(F537:K537)</f>
        <v>30489.625599999999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95280.08*0.38</f>
        <v>36206.430399999997</v>
      </c>
      <c r="I538" s="18"/>
      <c r="J538" s="18"/>
      <c r="K538" s="18"/>
      <c r="L538" s="88">
        <f>SUM(F538:K538)</f>
        <v>36206.430399999997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95280.08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95280.08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0.36*546526.37</f>
        <v>196749.4932</v>
      </c>
      <c r="I541" s="18"/>
      <c r="J541" s="18"/>
      <c r="K541" s="18"/>
      <c r="L541" s="88">
        <f>SUM(F541:K541)</f>
        <v>196749.4932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0.34*546526.37</f>
        <v>185818.96580000001</v>
      </c>
      <c r="I542" s="18"/>
      <c r="J542" s="18"/>
      <c r="K542" s="18"/>
      <c r="L542" s="88">
        <f>SUM(F542:K542)</f>
        <v>185818.96580000001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0.3*546526.37</f>
        <v>163957.91099999999</v>
      </c>
      <c r="I543" s="18"/>
      <c r="J543" s="18"/>
      <c r="K543" s="18"/>
      <c r="L543" s="88">
        <f>SUM(F543:K543)</f>
        <v>163957.91099999999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546526.37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546526.37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2727233.7319999998</v>
      </c>
      <c r="G545" s="89">
        <f t="shared" ref="G545:L545" si="42">G524+G529+G534+G539+G544</f>
        <v>632565.15150000004</v>
      </c>
      <c r="H545" s="89">
        <f t="shared" si="42"/>
        <v>1263984.81</v>
      </c>
      <c r="I545" s="89">
        <f t="shared" si="42"/>
        <v>29827.200000000001</v>
      </c>
      <c r="J545" s="89">
        <f t="shared" si="42"/>
        <v>8332.94</v>
      </c>
      <c r="K545" s="89">
        <f t="shared" si="42"/>
        <v>870</v>
      </c>
      <c r="L545" s="89">
        <f t="shared" si="42"/>
        <v>4662813.8334999997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839194.89549999987</v>
      </c>
      <c r="G549" s="87">
        <f>L526</f>
        <v>292633.10699999996</v>
      </c>
      <c r="H549" s="87">
        <f>L531</f>
        <v>96304.160999999993</v>
      </c>
      <c r="I549" s="87">
        <f>L536</f>
        <v>28584.024000000001</v>
      </c>
      <c r="J549" s="87">
        <f>L541</f>
        <v>196749.4932</v>
      </c>
      <c r="K549" s="87">
        <f>SUM(F549:J549)</f>
        <v>1453465.6806999999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916295.66800000018</v>
      </c>
      <c r="G550" s="87">
        <f>L527</f>
        <v>406168.77159999998</v>
      </c>
      <c r="H550" s="87">
        <f>L532</f>
        <v>94602.566999999981</v>
      </c>
      <c r="I550" s="87">
        <f>L537</f>
        <v>30489.625599999999</v>
      </c>
      <c r="J550" s="87">
        <f>L542</f>
        <v>185818.96580000001</v>
      </c>
      <c r="K550" s="87">
        <f>SUM(F550:J550)</f>
        <v>1633375.5980000002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938391.87</v>
      </c>
      <c r="G551" s="87">
        <f>L528</f>
        <v>342813.77639999997</v>
      </c>
      <c r="H551" s="87">
        <f>L533</f>
        <v>94602.566999999981</v>
      </c>
      <c r="I551" s="87">
        <f>L538</f>
        <v>36206.430399999997</v>
      </c>
      <c r="J551" s="87">
        <f>L543</f>
        <v>163957.91099999999</v>
      </c>
      <c r="K551" s="87">
        <f>SUM(F551:J551)</f>
        <v>1575972.5548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3">SUM(F549:F551)</f>
        <v>2693882.4335000003</v>
      </c>
      <c r="G552" s="89">
        <f t="shared" si="43"/>
        <v>1041615.6549999999</v>
      </c>
      <c r="H552" s="89">
        <f t="shared" si="43"/>
        <v>285509.29499999993</v>
      </c>
      <c r="I552" s="89">
        <f t="shared" si="43"/>
        <v>95280.08</v>
      </c>
      <c r="J552" s="89">
        <f t="shared" si="43"/>
        <v>546526.37</v>
      </c>
      <c r="K552" s="89">
        <f t="shared" si="43"/>
        <v>4662813.8334999997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0.3*59176</f>
        <v>17752.8</v>
      </c>
      <c r="G562" s="18"/>
      <c r="H562" s="18">
        <f>2552</f>
        <v>2552</v>
      </c>
      <c r="I562" s="18">
        <f>0.3*(1850.71+400)</f>
        <v>675.21299999999997</v>
      </c>
      <c r="J562" s="18"/>
      <c r="K562" s="18"/>
      <c r="L562" s="88">
        <f>SUM(F562:K562)</f>
        <v>20980.012999999999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f>0.34*59176</f>
        <v>20119.84</v>
      </c>
      <c r="G563" s="18"/>
      <c r="H563" s="18"/>
      <c r="I563" s="18">
        <f>0.34*(1850.71+400)</f>
        <v>765.24140000000011</v>
      </c>
      <c r="J563" s="18"/>
      <c r="K563" s="18"/>
      <c r="L563" s="88">
        <f>SUM(F563:K563)</f>
        <v>20885.081399999999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f>0.36*59176</f>
        <v>21303.360000000001</v>
      </c>
      <c r="G564" s="18"/>
      <c r="H564" s="18"/>
      <c r="I564" s="18">
        <f>0.36*(1850.71+400)</f>
        <v>810.25559999999996</v>
      </c>
      <c r="J564" s="18"/>
      <c r="K564" s="18"/>
      <c r="L564" s="88">
        <f>SUM(F564:K564)</f>
        <v>22113.615600000001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5">SUM(F562:F564)</f>
        <v>59176</v>
      </c>
      <c r="G565" s="89">
        <f t="shared" si="45"/>
        <v>0</v>
      </c>
      <c r="H565" s="89">
        <f t="shared" si="45"/>
        <v>2552</v>
      </c>
      <c r="I565" s="89">
        <f t="shared" si="45"/>
        <v>2250.71</v>
      </c>
      <c r="J565" s="89">
        <f t="shared" si="45"/>
        <v>0</v>
      </c>
      <c r="K565" s="89">
        <f t="shared" si="45"/>
        <v>0</v>
      </c>
      <c r="L565" s="89">
        <f t="shared" si="45"/>
        <v>63978.710000000006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59176</v>
      </c>
      <c r="G571" s="89">
        <f t="shared" ref="G571:L571" si="47">G560+G565+G570</f>
        <v>0</v>
      </c>
      <c r="H571" s="89">
        <f t="shared" si="47"/>
        <v>2552</v>
      </c>
      <c r="I571" s="89">
        <f t="shared" si="47"/>
        <v>2250.71</v>
      </c>
      <c r="J571" s="89">
        <f t="shared" si="47"/>
        <v>0</v>
      </c>
      <c r="K571" s="89">
        <f t="shared" si="47"/>
        <v>0</v>
      </c>
      <c r="L571" s="89">
        <f t="shared" si="47"/>
        <v>63978.710000000006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44733</v>
      </c>
      <c r="I575" s="87">
        <f>SUM(F575:H575)</f>
        <v>44733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10524.5</v>
      </c>
      <c r="G582" s="18">
        <f>49781+35357.7+49781+24679+41862.08</f>
        <v>201460.78000000003</v>
      </c>
      <c r="H582" s="18"/>
      <c r="I582" s="87">
        <f t="shared" si="48"/>
        <v>211985.28000000003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f>354241+52574.93</f>
        <v>406815.93</v>
      </c>
      <c r="I583" s="87">
        <f t="shared" si="48"/>
        <v>406815.93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1475605.78*0.38</f>
        <v>560730.19640000002</v>
      </c>
      <c r="I591" s="18">
        <f>1475605.78*0.32</f>
        <v>472193.84960000002</v>
      </c>
      <c r="J591" s="18">
        <f>1475605.78*0.3</f>
        <v>442681.734</v>
      </c>
      <c r="K591" s="104">
        <f t="shared" ref="K591:K597" si="49">SUM(H591:J591)</f>
        <v>1475605.78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546526.37*0.38</f>
        <v>207680.02059999999</v>
      </c>
      <c r="I592" s="18">
        <f>546526.37*0.32</f>
        <v>174888.43840000001</v>
      </c>
      <c r="J592" s="18">
        <f>546526.37*0.3</f>
        <v>163957.91099999999</v>
      </c>
      <c r="K592" s="104">
        <f t="shared" si="49"/>
        <v>546526.37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f>9121.49+15321.13-199.95</f>
        <v>24242.67</v>
      </c>
      <c r="J594" s="18">
        <v>79610.75</v>
      </c>
      <c r="K594" s="104">
        <f t="shared" si="49"/>
        <v>103853.42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5684.91+3593.83+2861+3403.62+1366.99+2177.75+4105.04+1880.96</f>
        <v>25074.100000000002</v>
      </c>
      <c r="I595" s="18">
        <f>943.41+25097.65+11390.38</f>
        <v>37431.440000000002</v>
      </c>
      <c r="J595" s="18">
        <v>8776.61</v>
      </c>
      <c r="K595" s="104">
        <f t="shared" si="49"/>
        <v>71282.150000000009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793484.31699999992</v>
      </c>
      <c r="I598" s="108">
        <f>SUM(I591:I597)</f>
        <v>708756.39800000004</v>
      </c>
      <c r="J598" s="108">
        <f>SUM(J591:J597)</f>
        <v>695027.005</v>
      </c>
      <c r="K598" s="108">
        <f>SUM(K591:K597)</f>
        <v>2197267.7199999997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J211+K290</f>
        <v>96445.84</v>
      </c>
      <c r="I604" s="18">
        <f>J229</f>
        <v>101786.19729999997</v>
      </c>
      <c r="J604" s="18">
        <f>J247+J316-830.97</f>
        <v>201329.38200000001</v>
      </c>
      <c r="K604" s="104">
        <f>SUM(H604:J604)</f>
        <v>399561.41929999995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96445.84</v>
      </c>
      <c r="I605" s="108">
        <f>SUM(I602:I604)</f>
        <v>101786.19729999997</v>
      </c>
      <c r="J605" s="108">
        <f>SUM(J602:J604)</f>
        <v>201329.38200000001</v>
      </c>
      <c r="K605" s="108">
        <f>SUM(K602:K604)</f>
        <v>399561.41929999995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4746550.1499999994</v>
      </c>
      <c r="H617" s="109">
        <f>SUM(F52)</f>
        <v>4746550.1499999994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81958.87</v>
      </c>
      <c r="H618" s="109">
        <f>SUM(G52)</f>
        <v>81958.87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510254.5</v>
      </c>
      <c r="H619" s="109">
        <f>SUM(H52)</f>
        <v>510254.5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1971407.9400000002</v>
      </c>
      <c r="H621" s="109">
        <f>SUM(J52)</f>
        <v>1971407.94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3302548.8299999991</v>
      </c>
      <c r="H622" s="109">
        <f>F476</f>
        <v>3302548.8286067918</v>
      </c>
      <c r="I622" s="121" t="s">
        <v>101</v>
      </c>
      <c r="J622" s="109">
        <f t="shared" ref="J622:J655" si="51">G622-H622</f>
        <v>1.393207348883152E-3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-75621.119999999995</v>
      </c>
      <c r="H623" s="109">
        <f>G476</f>
        <v>-75621.12060000014</v>
      </c>
      <c r="I623" s="121" t="s">
        <v>102</v>
      </c>
      <c r="J623" s="109">
        <f t="shared" si="51"/>
        <v>6.0000014491379261E-4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271514.51</v>
      </c>
      <c r="H624" s="109">
        <f>H476</f>
        <v>271514.51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1971407.94</v>
      </c>
      <c r="H626" s="109">
        <f>J476</f>
        <v>1971407.94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42296457.409999996</v>
      </c>
      <c r="H627" s="104">
        <f>SUM(F468)</f>
        <v>42296457.409999996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1018983.49</v>
      </c>
      <c r="H628" s="104">
        <f>SUM(G468)</f>
        <v>1018983.49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1290223.79</v>
      </c>
      <c r="H629" s="104">
        <f>SUM(H468)</f>
        <v>1290223.79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501307.51</v>
      </c>
      <c r="H631" s="104">
        <f>SUM(J468)</f>
        <v>501307.51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41491299.001393199</v>
      </c>
      <c r="H632" s="104">
        <f>SUM(F472)</f>
        <v>41491299.001393199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1290223.7914999998</v>
      </c>
      <c r="H633" s="104">
        <f>SUM(H472)</f>
        <v>1290223.79</v>
      </c>
      <c r="I633" s="140" t="s">
        <v>112</v>
      </c>
      <c r="J633" s="109">
        <f>G633-H633</f>
        <v>1.4999997802078724E-3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1039971.4706000001</v>
      </c>
      <c r="H635" s="104">
        <f>SUM(G472)</f>
        <v>1039971.4706000001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501307.51</v>
      </c>
      <c r="H637" s="164">
        <f>SUM(J468)</f>
        <v>501307.51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799478.7</v>
      </c>
      <c r="H639" s="104">
        <f>SUM(F461)</f>
        <v>799478.7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1171929.2400000002</v>
      </c>
      <c r="H640" s="104">
        <f>SUM(G461)</f>
        <v>1171929.24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1971407.9400000002</v>
      </c>
      <c r="H642" s="104">
        <f>SUM(I461)</f>
        <v>1971407.94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1307.51</v>
      </c>
      <c r="H644" s="104">
        <f>H408</f>
        <v>1307.51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500000</v>
      </c>
      <c r="H645" s="104">
        <f>G408</f>
        <v>500000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501307.51</v>
      </c>
      <c r="H646" s="104">
        <f>L408</f>
        <v>501307.51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2197267.7199999997</v>
      </c>
      <c r="H647" s="104">
        <f>L208+L226+L244</f>
        <v>2197267.7200000002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399561.41929999995</v>
      </c>
      <c r="H648" s="104">
        <f>(J257+J338)-(J255+J336)</f>
        <v>399561.41929999995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793484.31400000001</v>
      </c>
      <c r="H649" s="104">
        <f>H598</f>
        <v>793484.31699999992</v>
      </c>
      <c r="I649" s="140" t="s">
        <v>388</v>
      </c>
      <c r="J649" s="109">
        <f t="shared" si="51"/>
        <v>-2.9999999096617103E-3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708756.40100000019</v>
      </c>
      <c r="H650" s="104">
        <f>I598</f>
        <v>708756.39800000004</v>
      </c>
      <c r="I650" s="140" t="s">
        <v>389</v>
      </c>
      <c r="J650" s="109">
        <f t="shared" si="51"/>
        <v>3.0000001424923539E-3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695027.00499999977</v>
      </c>
      <c r="H651" s="104">
        <f>J598</f>
        <v>695027.005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75000</v>
      </c>
      <c r="H652" s="104">
        <f>K263+K345</f>
        <v>75000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500000</v>
      </c>
      <c r="H655" s="104">
        <f>K266+K347</f>
        <v>500000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3.493189811706543E-3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13693701.598635001</v>
      </c>
      <c r="G660" s="19">
        <f>(L229+L309+L359)</f>
        <v>13992178.966565704</v>
      </c>
      <c r="H660" s="19">
        <f>(L247+L328+L360)</f>
        <v>15092893.018292496</v>
      </c>
      <c r="I660" s="19">
        <f>SUM(F660:H660)</f>
        <v>42778773.583493203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137625.03064259214</v>
      </c>
      <c r="G661" s="19">
        <f>(L359/IF(SUM(L358:L360)=0,1,SUM(L358:L360))*(SUM(G97:G110)))</f>
        <v>156453.38598825733</v>
      </c>
      <c r="H661" s="19">
        <f>(L360/IF(SUM(L358:L360)=0,1,SUM(L358:L360))*(SUM(G97:G110)))</f>
        <v>157398.3033691505</v>
      </c>
      <c r="I661" s="19">
        <f>SUM(F661:H661)</f>
        <v>451476.72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797053.51399999997</v>
      </c>
      <c r="G662" s="19">
        <f>(L226+L306)-(J226+J306)</f>
        <v>708756.40100000019</v>
      </c>
      <c r="H662" s="19">
        <f>(L244+L325)-(J244+J325)</f>
        <v>695027.00499999977</v>
      </c>
      <c r="I662" s="19">
        <f>SUM(F662:H662)</f>
        <v>2200836.92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106970.34</v>
      </c>
      <c r="G663" s="199">
        <f>SUM(G575:G587)+SUM(I602:I604)+L612</f>
        <v>303246.97730000003</v>
      </c>
      <c r="H663" s="199">
        <f>SUM(H575:H587)+SUM(J602:J604)+L613</f>
        <v>652878.31200000003</v>
      </c>
      <c r="I663" s="19">
        <f>SUM(F663:H663)</f>
        <v>1063095.6293000001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12652052.713992409</v>
      </c>
      <c r="G664" s="19">
        <f>G660-SUM(G661:G663)</f>
        <v>12823722.202277446</v>
      </c>
      <c r="H664" s="19">
        <f>H660-SUM(H661:H663)</f>
        <v>13587589.397923347</v>
      </c>
      <c r="I664" s="19">
        <f>I660-SUM(I661:I663)</f>
        <v>39063364.314193204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760.28</v>
      </c>
      <c r="G665" s="248">
        <v>654.17999999999995</v>
      </c>
      <c r="H665" s="248">
        <v>728.53</v>
      </c>
      <c r="I665" s="19">
        <f>SUM(F665:H665)</f>
        <v>2142.9899999999998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16641.310000000001</v>
      </c>
      <c r="G667" s="19">
        <f>ROUND(G664/G665,2)</f>
        <v>19602.740000000002</v>
      </c>
      <c r="H667" s="19">
        <f>ROUND(H664/H665,2)</f>
        <v>18650.689999999999</v>
      </c>
      <c r="I667" s="19">
        <f>ROUND(I664/I665,2)</f>
        <v>18228.439999999999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-1.17</v>
      </c>
      <c r="I670" s="19">
        <f>SUM(F670:H670)</f>
        <v>-1.17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16641.310000000001</v>
      </c>
      <c r="G672" s="19">
        <f>ROUND((G664+G669)/(G665+G670),2)</f>
        <v>19602.740000000002</v>
      </c>
      <c r="H672" s="19">
        <f>ROUND((H664+H669)/(H665+H670),2)</f>
        <v>18680.689999999999</v>
      </c>
      <c r="I672" s="19">
        <f>ROUND((I664+I669)/(I665+I670),2)</f>
        <v>18238.400000000001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Contoocook Valley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12310504.687799999</v>
      </c>
      <c r="C9" s="229">
        <f>'DOE25'!G197+'DOE25'!G215+'DOE25'!G233+'DOE25'!G276+'DOE25'!G295+'DOE25'!G314</f>
        <v>6018235.0592006994</v>
      </c>
    </row>
    <row r="10" spans="1:3" x14ac:dyDescent="0.2">
      <c r="A10" t="s">
        <v>778</v>
      </c>
      <c r="B10" s="240">
        <v>8861886.6899999995</v>
      </c>
      <c r="C10" s="240">
        <f>4696799.95-564.89</f>
        <v>4696235.0600000005</v>
      </c>
    </row>
    <row r="11" spans="1:3" x14ac:dyDescent="0.2">
      <c r="A11" t="s">
        <v>779</v>
      </c>
      <c r="B11" s="240">
        <v>3448618</v>
      </c>
      <c r="C11" s="240">
        <v>1322000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12310504.689999999</v>
      </c>
      <c r="C13" s="231">
        <f>SUM(C10:C12)</f>
        <v>6018235.0600000005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3364528.34</v>
      </c>
      <c r="C18" s="229">
        <f>'DOE25'!G198+'DOE25'!G216+'DOE25'!G234+'DOE25'!G277+'DOE25'!G296+'DOE25'!G315</f>
        <v>2150285.6902999999</v>
      </c>
    </row>
    <row r="19" spans="1:3" x14ac:dyDescent="0.2">
      <c r="A19" t="s">
        <v>778</v>
      </c>
      <c r="B19" s="240">
        <v>2326732.52</v>
      </c>
      <c r="C19" s="240">
        <f>B19*0.43</f>
        <v>1000494.9836</v>
      </c>
    </row>
    <row r="20" spans="1:3" x14ac:dyDescent="0.2">
      <c r="A20" t="s">
        <v>779</v>
      </c>
      <c r="B20" s="240">
        <f>B18-B19</f>
        <v>1037795.8199999998</v>
      </c>
      <c r="C20" s="240">
        <v>1149790.71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3364528.34</v>
      </c>
      <c r="C22" s="231">
        <f>SUM(C19:C21)</f>
        <v>2150285.6935999999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538812</v>
      </c>
      <c r="C27" s="234">
        <f>'DOE25'!G199+'DOE25'!G217+'DOE25'!G235+'DOE25'!G278+'DOE25'!G297+'DOE25'!G316</f>
        <v>153118.27799999999</v>
      </c>
    </row>
    <row r="28" spans="1:3" x14ac:dyDescent="0.2">
      <c r="A28" t="s">
        <v>778</v>
      </c>
      <c r="B28" s="240">
        <v>538812</v>
      </c>
      <c r="C28" s="240">
        <v>153118.28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Error</v>
      </c>
      <c r="B31" s="231">
        <f>SUM(B28:B30)</f>
        <v>538812</v>
      </c>
      <c r="C31" s="231">
        <f>SUM(C28:C30)</f>
        <v>153118.28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457504.29</v>
      </c>
      <c r="C36" s="235">
        <f>'DOE25'!H200+'DOE25'!G218+'DOE25'!G236+'DOE25'!G279+'DOE25'!G298+'DOE25'!G317</f>
        <v>116411.527185</v>
      </c>
    </row>
    <row r="37" spans="1:3" x14ac:dyDescent="0.2">
      <c r="A37" t="s">
        <v>778</v>
      </c>
      <c r="B37" s="240">
        <v>457504.29</v>
      </c>
      <c r="C37" s="240">
        <v>116411.53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457504.29</v>
      </c>
      <c r="C40" s="231">
        <f>SUM(C37:C39)</f>
        <v>116411.53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7" sqref="F3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Contoocook Valley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26777648.9564857</v>
      </c>
      <c r="D5" s="20">
        <f>SUM('DOE25'!L197:L200)+SUM('DOE25'!L215:L218)+SUM('DOE25'!L233:L236)-F5-G5</f>
        <v>26469140.256485701</v>
      </c>
      <c r="E5" s="243"/>
      <c r="F5" s="255">
        <f>SUM('DOE25'!J197:J200)+SUM('DOE25'!J215:J218)+SUM('DOE25'!J233:J236)</f>
        <v>238743.43</v>
      </c>
      <c r="G5" s="53">
        <f>SUM('DOE25'!K197:K200)+SUM('DOE25'!K215:K218)+SUM('DOE25'!K233:K236)</f>
        <v>69765.27</v>
      </c>
      <c r="H5" s="259"/>
    </row>
    <row r="6" spans="1:9" x14ac:dyDescent="0.2">
      <c r="A6" s="32">
        <v>2100</v>
      </c>
      <c r="B6" t="s">
        <v>800</v>
      </c>
      <c r="C6" s="245">
        <f t="shared" si="0"/>
        <v>1492241.5491150001</v>
      </c>
      <c r="D6" s="20">
        <f>'DOE25'!L202+'DOE25'!L220+'DOE25'!L238-F6-G6</f>
        <v>1462774.982815</v>
      </c>
      <c r="E6" s="243"/>
      <c r="F6" s="255">
        <f>'DOE25'!J202+'DOE25'!J220+'DOE25'!J238</f>
        <v>25745.256300000001</v>
      </c>
      <c r="G6" s="53">
        <f>'DOE25'!K202+'DOE25'!K220+'DOE25'!K238</f>
        <v>3721.31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1465937.7082390001</v>
      </c>
      <c r="D7" s="20">
        <f>'DOE25'!L203+'DOE25'!L221+'DOE25'!L239-F7-G7</f>
        <v>1425388.145239</v>
      </c>
      <c r="E7" s="243"/>
      <c r="F7" s="255">
        <f>'DOE25'!J203+'DOE25'!J221+'DOE25'!J239</f>
        <v>40549.562999999995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1424273.6032465</v>
      </c>
      <c r="D8" s="243"/>
      <c r="E8" s="20">
        <f>'DOE25'!L204+'DOE25'!L222+'DOE25'!L240-F8-G8-D9-D11</f>
        <v>1407349.3367465001</v>
      </c>
      <c r="F8" s="255">
        <f>'DOE25'!J204+'DOE25'!J222+'DOE25'!J240</f>
        <v>0</v>
      </c>
      <c r="G8" s="53">
        <f>'DOE25'!K204+'DOE25'!K222+'DOE25'!K240</f>
        <v>16924.266499999998</v>
      </c>
      <c r="H8" s="259"/>
    </row>
    <row r="9" spans="1:9" x14ac:dyDescent="0.2">
      <c r="A9" s="32">
        <v>2310</v>
      </c>
      <c r="B9" t="s">
        <v>817</v>
      </c>
      <c r="C9" s="245">
        <f t="shared" si="0"/>
        <v>86089</v>
      </c>
      <c r="D9" s="244">
        <v>86089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27017</v>
      </c>
      <c r="D10" s="243"/>
      <c r="E10" s="244">
        <v>27017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274066.57</v>
      </c>
      <c r="D11" s="244">
        <f>183026.49+91040.08</f>
        <v>274066.57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2810003.7966450001</v>
      </c>
      <c r="D12" s="20">
        <f>'DOE25'!L205+'DOE25'!L223+'DOE25'!L241-F12-G12</f>
        <v>2740994.0466450001</v>
      </c>
      <c r="E12" s="243"/>
      <c r="F12" s="255">
        <f>'DOE25'!J205+'DOE25'!J223+'DOE25'!J241</f>
        <v>250</v>
      </c>
      <c r="G12" s="53">
        <f>'DOE25'!K205+'DOE25'!K223+'DOE25'!K241</f>
        <v>68759.75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3920912.6976619996</v>
      </c>
      <c r="D14" s="20">
        <f>'DOE25'!L207+'DOE25'!L225+'DOE25'!L243-F14-G14</f>
        <v>3885900.6976619996</v>
      </c>
      <c r="E14" s="243"/>
      <c r="F14" s="255">
        <f>'DOE25'!J207+'DOE25'!J225+'DOE25'!J243</f>
        <v>35012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2197267.7200000002</v>
      </c>
      <c r="D15" s="20">
        <f>'DOE25'!L208+'DOE25'!L226+'DOE25'!L244-F15-G15</f>
        <v>2197267.7200000002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9262.4</v>
      </c>
      <c r="D16" s="243"/>
      <c r="E16" s="20">
        <f>'DOE25'!L209+'DOE25'!L227+'DOE25'!L245-F16-G16</f>
        <v>9262.4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458595</v>
      </c>
      <c r="D25" s="243"/>
      <c r="E25" s="243"/>
      <c r="F25" s="258"/>
      <c r="G25" s="256"/>
      <c r="H25" s="257">
        <f>'DOE25'!L260+'DOE25'!L261+'DOE25'!L341+'DOE25'!L342</f>
        <v>458595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1039971.4706000001</v>
      </c>
      <c r="D29" s="20">
        <f>'DOE25'!L358+'DOE25'!L359+'DOE25'!L360-'DOE25'!I367-F29-G29</f>
        <v>1034993.6206000001</v>
      </c>
      <c r="E29" s="243"/>
      <c r="F29" s="255">
        <f>'DOE25'!J358+'DOE25'!J359+'DOE25'!J360</f>
        <v>1559.36</v>
      </c>
      <c r="G29" s="53">
        <f>'DOE25'!K358+'DOE25'!K359+'DOE25'!K360</f>
        <v>3418.49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1290223.7914999998</v>
      </c>
      <c r="D31" s="20">
        <f>'DOE25'!L290+'DOE25'!L309+'DOE25'!L328+'DOE25'!L333+'DOE25'!L334+'DOE25'!L335-F31-G31</f>
        <v>1226684.5614999998</v>
      </c>
      <c r="E31" s="243"/>
      <c r="F31" s="255">
        <f>'DOE25'!J290+'DOE25'!J309+'DOE25'!J328+'DOE25'!J333+'DOE25'!J334+'DOE25'!J335</f>
        <v>59261.17</v>
      </c>
      <c r="G31" s="53">
        <f>'DOE25'!K290+'DOE25'!K309+'DOE25'!K328+'DOE25'!K333+'DOE25'!K334+'DOE25'!K335</f>
        <v>4278.0600000000004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40803299.600946695</v>
      </c>
      <c r="E33" s="246">
        <f>SUM(E5:E31)</f>
        <v>1443628.7367465</v>
      </c>
      <c r="F33" s="246">
        <f>SUM(F5:F31)</f>
        <v>401120.77929999999</v>
      </c>
      <c r="G33" s="246">
        <f>SUM(G5:G31)</f>
        <v>166867.14649999997</v>
      </c>
      <c r="H33" s="246">
        <f>SUM(H5:H31)</f>
        <v>458595</v>
      </c>
    </row>
    <row r="35" spans="2:8" ht="12" thickBot="1" x14ac:dyDescent="0.25">
      <c r="B35" s="253" t="s">
        <v>846</v>
      </c>
      <c r="D35" s="254">
        <f>E33</f>
        <v>1443628.7367465</v>
      </c>
      <c r="E35" s="249"/>
    </row>
    <row r="36" spans="2:8" ht="12" thickTop="1" x14ac:dyDescent="0.2">
      <c r="B36" t="s">
        <v>814</v>
      </c>
      <c r="D36" s="20">
        <f>D33</f>
        <v>40803299.600946695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9" activePane="bottomLeft" state="frozen"/>
      <selection activeCell="F46" sqref="F46"/>
      <selection pane="bottomLeft" activeCell="C118" sqref="C11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Contoocook Valley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4357029.1900000004</v>
      </c>
      <c r="D8" s="95">
        <f>'DOE25'!G9</f>
        <v>13273.75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5903.21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1971407.9400000002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236655.85</v>
      </c>
      <c r="D11" s="95">
        <f>'DOE25'!G12</f>
        <v>35650</v>
      </c>
      <c r="E11" s="95">
        <f>'DOE25'!H12</f>
        <v>271514.63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33035.120000000003</v>
      </c>
      <c r="E12" s="95">
        <f>'DOE25'!H13</f>
        <v>238739.87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96513.1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50448.800000000003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4746550.1499999994</v>
      </c>
      <c r="D18" s="41">
        <f>SUM(D8:D17)</f>
        <v>81958.87</v>
      </c>
      <c r="E18" s="41">
        <f>SUM(E8:E17)</f>
        <v>510254.5</v>
      </c>
      <c r="F18" s="41">
        <f>SUM(F8:F17)</f>
        <v>0</v>
      </c>
      <c r="G18" s="41">
        <f>SUM(G8:G17)</f>
        <v>1971407.9400000002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307164.83</v>
      </c>
      <c r="D21" s="95">
        <f>'DOE25'!G22</f>
        <v>0</v>
      </c>
      <c r="E21" s="95">
        <f>'DOE25'!H22</f>
        <v>234700.78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127320.49</v>
      </c>
      <c r="D23" s="95">
        <f>'DOE25'!G24</f>
        <v>143225.09999999998</v>
      </c>
      <c r="E23" s="95">
        <f>'DOE25'!H24</f>
        <v>4039.21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3000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1006516</v>
      </c>
      <c r="D29" s="95">
        <f>'DOE25'!G30</f>
        <v>14354.89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1444001.32</v>
      </c>
      <c r="D31" s="41">
        <f>SUM(D21:D30)</f>
        <v>157579.99</v>
      </c>
      <c r="E31" s="41">
        <f>SUM(E21:E30)</f>
        <v>238739.99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50448.800000000003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-75621.119999999995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271514.51</v>
      </c>
      <c r="F47" s="95">
        <f>'DOE25'!I48</f>
        <v>0</v>
      </c>
      <c r="G47" s="95">
        <f>'DOE25'!J48</f>
        <v>1971407.94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1329591.06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1372508.9699999993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3302548.8299999991</v>
      </c>
      <c r="D50" s="41">
        <f>SUM(D34:D49)</f>
        <v>-75621.119999999995</v>
      </c>
      <c r="E50" s="41">
        <f>SUM(E34:E49)</f>
        <v>271514.51</v>
      </c>
      <c r="F50" s="41">
        <f>SUM(F34:F49)</f>
        <v>0</v>
      </c>
      <c r="G50" s="41">
        <f>SUM(G34:G49)</f>
        <v>1971407.94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4746550.1499999994</v>
      </c>
      <c r="D51" s="41">
        <f>D50+D31</f>
        <v>81958.87</v>
      </c>
      <c r="E51" s="41">
        <f>E50+E31</f>
        <v>510254.5</v>
      </c>
      <c r="F51" s="41">
        <f>F50+F31</f>
        <v>0</v>
      </c>
      <c r="G51" s="41">
        <f>G50+G31</f>
        <v>1971407.94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28764935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154260.31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1728.5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9492.17</v>
      </c>
      <c r="D59" s="95">
        <f>'DOE25'!G96</f>
        <v>72.849999999999994</v>
      </c>
      <c r="E59" s="95">
        <f>'DOE25'!H96</f>
        <v>0</v>
      </c>
      <c r="F59" s="95">
        <f>'DOE25'!I96</f>
        <v>0</v>
      </c>
      <c r="G59" s="95">
        <f>'DOE25'!J96</f>
        <v>1307.51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451476.72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13379.76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178860.74000000002</v>
      </c>
      <c r="D62" s="130">
        <f>SUM(D57:D61)</f>
        <v>451549.56999999995</v>
      </c>
      <c r="E62" s="130">
        <f>SUM(E57:E61)</f>
        <v>0</v>
      </c>
      <c r="F62" s="130">
        <f>SUM(F57:F61)</f>
        <v>0</v>
      </c>
      <c r="G62" s="130">
        <f>SUM(G57:G61)</f>
        <v>1307.51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28943795.739999998</v>
      </c>
      <c r="D63" s="22">
        <f>D56+D62</f>
        <v>451549.56999999995</v>
      </c>
      <c r="E63" s="22">
        <f>E56+E62</f>
        <v>0</v>
      </c>
      <c r="F63" s="22">
        <f>F56+F62</f>
        <v>0</v>
      </c>
      <c r="G63" s="22">
        <f>G56+G62</f>
        <v>1307.51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7402806.9299999997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4600495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17327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12020628.93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438590.35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469537.17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25456.29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11523.94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933583.81</v>
      </c>
      <c r="D78" s="130">
        <f>SUM(D72:D77)</f>
        <v>11523.94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12954212.74</v>
      </c>
      <c r="D81" s="130">
        <f>SUM(D79:D80)+D78+D70</f>
        <v>11523.94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390278.61</v>
      </c>
      <c r="D88" s="95">
        <f>SUM('DOE25'!G153:G161)</f>
        <v>480909.98</v>
      </c>
      <c r="E88" s="95">
        <f>SUM('DOE25'!H153:H161)</f>
        <v>1290223.79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390278.61</v>
      </c>
      <c r="D91" s="131">
        <f>SUM(D85:D90)</f>
        <v>480909.98</v>
      </c>
      <c r="E91" s="131">
        <f>SUM(E85:E90)</f>
        <v>1290223.79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75000</v>
      </c>
      <c r="E96" s="95">
        <f>'DOE25'!H179</f>
        <v>0</v>
      </c>
      <c r="F96" s="95">
        <f>'DOE25'!I179</f>
        <v>0</v>
      </c>
      <c r="G96" s="95">
        <f>'DOE25'!J179</f>
        <v>500000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8170.32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8170.32</v>
      </c>
      <c r="D103" s="86">
        <f>SUM(D93:D102)</f>
        <v>75000</v>
      </c>
      <c r="E103" s="86">
        <f>SUM(E93:E102)</f>
        <v>0</v>
      </c>
      <c r="F103" s="86">
        <f>SUM(F93:F102)</f>
        <v>0</v>
      </c>
      <c r="G103" s="86">
        <f>SUM(G93:G102)</f>
        <v>500000</v>
      </c>
    </row>
    <row r="104" spans="1:7" ht="12.75" thickTop="1" thickBot="1" x14ac:dyDescent="0.25">
      <c r="A104" s="33" t="s">
        <v>764</v>
      </c>
      <c r="C104" s="86">
        <f>C63+C81+C91+C103</f>
        <v>42296457.409999996</v>
      </c>
      <c r="D104" s="86">
        <f>D63+D81+D91+D103</f>
        <v>1018983.49</v>
      </c>
      <c r="E104" s="86">
        <f>E63+E81+E91+E103</f>
        <v>1290223.79</v>
      </c>
      <c r="F104" s="86">
        <f>F63+F81+F91+F103</f>
        <v>0</v>
      </c>
      <c r="G104" s="86">
        <f>G63+G81+G103</f>
        <v>501307.51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18662725.2610007</v>
      </c>
      <c r="D109" s="24" t="s">
        <v>288</v>
      </c>
      <c r="E109" s="95">
        <f>('DOE25'!L276)+('DOE25'!L295)+('DOE25'!L314)</f>
        <v>401542.87999999995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6516613.100300001</v>
      </c>
      <c r="D110" s="24" t="s">
        <v>288</v>
      </c>
      <c r="E110" s="95">
        <f>('DOE25'!L277)+('DOE25'!L296)+('DOE25'!L315)</f>
        <v>543998.92000000004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744864.4580000001</v>
      </c>
      <c r="D111" s="24" t="s">
        <v>288</v>
      </c>
      <c r="E111" s="95">
        <f>('DOE25'!L278)+('DOE25'!L297)+('DOE25'!L316)</f>
        <v>66398.439999999988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853446.137185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9125.68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26777648.9564857</v>
      </c>
      <c r="D115" s="86">
        <f>SUM(D109:D114)</f>
        <v>0</v>
      </c>
      <c r="E115" s="86">
        <f>SUM(E109:E114)</f>
        <v>1021065.92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1492241.5491150001</v>
      </c>
      <c r="D118" s="24" t="s">
        <v>288</v>
      </c>
      <c r="E118" s="95">
        <f>+('DOE25'!L281)+('DOE25'!L300)+('DOE25'!L319)</f>
        <v>50919.28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1465937.7082390001</v>
      </c>
      <c r="D119" s="24" t="s">
        <v>288</v>
      </c>
      <c r="E119" s="95">
        <f>+('DOE25'!L282)+('DOE25'!L301)+('DOE25'!L320)</f>
        <v>200637.27150000003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1784429.1732465001</v>
      </c>
      <c r="D120" s="24" t="s">
        <v>288</v>
      </c>
      <c r="E120" s="95">
        <f>+('DOE25'!L283)+('DOE25'!L302)+('DOE25'!L321)</f>
        <v>1879.08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2810003.7966450001</v>
      </c>
      <c r="D121" s="24" t="s">
        <v>288</v>
      </c>
      <c r="E121" s="95">
        <f>+('DOE25'!L284)+('DOE25'!L303)+('DOE25'!L322)</f>
        <v>12153.04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3920912.6976619996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2197267.7200000002</v>
      </c>
      <c r="D124" s="24" t="s">
        <v>288</v>
      </c>
      <c r="E124" s="95">
        <f>+('DOE25'!L287)+('DOE25'!L306)+('DOE25'!L325)</f>
        <v>3569.2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9262.4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1039971.4706000001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13680055.044907501</v>
      </c>
      <c r="D128" s="86">
        <f>SUM(D118:D127)</f>
        <v>1039971.4706000001</v>
      </c>
      <c r="E128" s="86">
        <f>SUM(E118:E127)</f>
        <v>269157.87150000001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360000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98595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75000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501307.51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-1307.5100000000093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1033595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41491299.001393199</v>
      </c>
      <c r="D145" s="86">
        <f>(D115+D128+D144)</f>
        <v>1039971.4706000001</v>
      </c>
      <c r="E145" s="86">
        <f>(E115+E128+E144)</f>
        <v>1290223.7915000001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02/15/2013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02/15/2023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3575000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1.6918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2495000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2495000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360000</v>
      </c>
    </row>
    <row r="159" spans="1:9" x14ac:dyDescent="0.2">
      <c r="A159" s="22" t="s">
        <v>35</v>
      </c>
      <c r="B159" s="137">
        <f>'DOE25'!F498</f>
        <v>2135000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2135000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2135000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2135000</v>
      </c>
    </row>
    <row r="162" spans="1:7" x14ac:dyDescent="0.2">
      <c r="A162" s="22" t="s">
        <v>38</v>
      </c>
      <c r="B162" s="137">
        <f>'DOE25'!F501</f>
        <v>360000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360000</v>
      </c>
    </row>
    <row r="163" spans="1:7" x14ac:dyDescent="0.2">
      <c r="A163" s="22" t="s">
        <v>39</v>
      </c>
      <c r="B163" s="137">
        <f>'DOE25'!F502</f>
        <v>98595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98595</v>
      </c>
    </row>
    <row r="164" spans="1:7" x14ac:dyDescent="0.2">
      <c r="A164" s="22" t="s">
        <v>246</v>
      </c>
      <c r="B164" s="137">
        <f>'DOE25'!F503</f>
        <v>458595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458595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Contoocook Valley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16641</v>
      </c>
    </row>
    <row r="5" spans="1:4" x14ac:dyDescent="0.2">
      <c r="B5" t="s">
        <v>703</v>
      </c>
      <c r="C5" s="179">
        <f>IF('DOE25'!G665+'DOE25'!G670=0,0,ROUND('DOE25'!G672,0))</f>
        <v>19603</v>
      </c>
    </row>
    <row r="6" spans="1:4" x14ac:dyDescent="0.2">
      <c r="B6" t="s">
        <v>62</v>
      </c>
      <c r="C6" s="179">
        <f>IF('DOE25'!H665+'DOE25'!H670=0,0,ROUND('DOE25'!H672,0))</f>
        <v>18681</v>
      </c>
    </row>
    <row r="7" spans="1:4" x14ac:dyDescent="0.2">
      <c r="B7" t="s">
        <v>704</v>
      </c>
      <c r="C7" s="179">
        <f>IF('DOE25'!I665+'DOE25'!I670=0,0,ROUND('DOE25'!I672,0))</f>
        <v>18238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19064268</v>
      </c>
      <c r="D10" s="182">
        <f>ROUND((C10/$C$28)*100,1)</f>
        <v>44.9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7060612</v>
      </c>
      <c r="D11" s="182">
        <f>ROUND((C11/$C$28)*100,1)</f>
        <v>16.600000000000001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811263</v>
      </c>
      <c r="D12" s="182">
        <f>ROUND((C12/$C$28)*100,1)</f>
        <v>1.9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853446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1543161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1666575</v>
      </c>
      <c r="D16" s="182">
        <f t="shared" si="0"/>
        <v>3.9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1795571</v>
      </c>
      <c r="D17" s="182">
        <f t="shared" si="0"/>
        <v>4.2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2822157</v>
      </c>
      <c r="D18" s="182">
        <f t="shared" si="0"/>
        <v>6.7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3920913</v>
      </c>
      <c r="D20" s="182">
        <f t="shared" si="0"/>
        <v>9.1999999999999993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2200837</v>
      </c>
      <c r="D21" s="182">
        <f t="shared" si="0"/>
        <v>5.2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9126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98595</v>
      </c>
      <c r="D25" s="182">
        <f t="shared" si="0"/>
        <v>0.2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588494.28</v>
      </c>
      <c r="D27" s="182">
        <f t="shared" si="0"/>
        <v>1.4</v>
      </c>
    </row>
    <row r="28" spans="1:4" x14ac:dyDescent="0.2">
      <c r="B28" s="187" t="s">
        <v>722</v>
      </c>
      <c r="C28" s="180">
        <f>SUM(C10:C27)</f>
        <v>42435018.280000001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42435018.280000001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360000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28764935</v>
      </c>
      <c r="D35" s="182">
        <f t="shared" ref="D35:D40" si="1">ROUND((C35/$C$41)*100,1)</f>
        <v>65.3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180241.10000000149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12003302</v>
      </c>
      <c r="D37" s="182">
        <f t="shared" si="1"/>
        <v>27.2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962435</v>
      </c>
      <c r="D38" s="182">
        <f t="shared" si="1"/>
        <v>2.2000000000000002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2161412</v>
      </c>
      <c r="D39" s="182">
        <f t="shared" si="1"/>
        <v>4.9000000000000004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44072325.100000001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Contoocook Valley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>
        <v>57</v>
      </c>
      <c r="C4" s="286" t="s">
        <v>912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7" workbookViewId="0">
      <selection activeCell="B34" sqref="B34"/>
    </sheetView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2017-11-09T18:10:56Z</cp:lastPrinted>
  <dcterms:created xsi:type="dcterms:W3CDTF">1997-12-04T19:04:30Z</dcterms:created>
  <dcterms:modified xsi:type="dcterms:W3CDTF">2017-11-29T17:12:45Z</dcterms:modified>
</cp:coreProperties>
</file>