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770" windowHeight="12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F50" i="1" l="1"/>
  <c r="J604" i="1" l="1"/>
  <c r="G439" i="1"/>
  <c r="G233" i="1"/>
  <c r="F233" i="1"/>
  <c r="G215" i="1"/>
  <c r="F215" i="1"/>
  <c r="G197" i="1"/>
  <c r="F197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E16" i="13" s="1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C123" i="2" s="1"/>
  <c r="F15" i="13"/>
  <c r="G15" i="13"/>
  <c r="L208" i="1"/>
  <c r="H647" i="1" s="1"/>
  <c r="L226" i="1"/>
  <c r="L244" i="1"/>
  <c r="F17" i="13"/>
  <c r="G17" i="13"/>
  <c r="L251" i="1"/>
  <c r="D17" i="13" s="1"/>
  <c r="C17" i="13" s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E120" i="2" s="1"/>
  <c r="L284" i="1"/>
  <c r="E121" i="2" s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E123" i="2" s="1"/>
  <c r="L306" i="1"/>
  <c r="E124" i="2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E56" i="2" s="1"/>
  <c r="I60" i="1"/>
  <c r="F56" i="2" s="1"/>
  <c r="F79" i="1"/>
  <c r="F112" i="1" s="1"/>
  <c r="F94" i="1"/>
  <c r="F111" i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C26" i="10" s="1"/>
  <c r="L350" i="1"/>
  <c r="E143" i="2" s="1"/>
  <c r="I665" i="1"/>
  <c r="I670" i="1"/>
  <c r="G662" i="1"/>
  <c r="H662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L345" i="1"/>
  <c r="E135" i="2" s="1"/>
  <c r="L346" i="1"/>
  <c r="L351" i="1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7" i="2"/>
  <c r="C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E81" i="2" s="1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C114" i="2"/>
  <c r="D115" i="2"/>
  <c r="F115" i="2"/>
  <c r="G115" i="2"/>
  <c r="C122" i="2"/>
  <c r="C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G625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L256" i="1" s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F408" i="1" s="1"/>
  <c r="H643" i="1" s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H446" i="1"/>
  <c r="G641" i="1" s="1"/>
  <c r="J641" i="1" s="1"/>
  <c r="I446" i="1"/>
  <c r="G642" i="1" s="1"/>
  <c r="F452" i="1"/>
  <c r="G452" i="1"/>
  <c r="H452" i="1"/>
  <c r="F460" i="1"/>
  <c r="F461" i="1" s="1"/>
  <c r="H639" i="1" s="1"/>
  <c r="G460" i="1"/>
  <c r="H460" i="1"/>
  <c r="H461" i="1" s="1"/>
  <c r="H641" i="1" s="1"/>
  <c r="I460" i="1"/>
  <c r="F470" i="1"/>
  <c r="F476" i="1" s="1"/>
  <c r="H622" i="1" s="1"/>
  <c r="G470" i="1"/>
  <c r="H470" i="1"/>
  <c r="H476" i="1" s="1"/>
  <c r="H624" i="1" s="1"/>
  <c r="I470" i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I571" i="1" s="1"/>
  <c r="J560" i="1"/>
  <c r="J571" i="1" s="1"/>
  <c r="K560" i="1"/>
  <c r="K571" i="1" s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J643" i="1" s="1"/>
  <c r="G644" i="1"/>
  <c r="G650" i="1"/>
  <c r="G651" i="1"/>
  <c r="G652" i="1"/>
  <c r="H652" i="1"/>
  <c r="G653" i="1"/>
  <c r="H653" i="1"/>
  <c r="G654" i="1"/>
  <c r="H654" i="1"/>
  <c r="H655" i="1"/>
  <c r="C78" i="2"/>
  <c r="D91" i="2"/>
  <c r="D19" i="13"/>
  <c r="C19" i="13" s="1"/>
  <c r="E13" i="13"/>
  <c r="C13" i="13" s="1"/>
  <c r="I169" i="1"/>
  <c r="J140" i="1"/>
  <c r="F22" i="13"/>
  <c r="C22" i="13" s="1"/>
  <c r="H192" i="1"/>
  <c r="J655" i="1"/>
  <c r="L570" i="1"/>
  <c r="A31" i="12" l="1"/>
  <c r="K598" i="1"/>
  <c r="G647" i="1" s="1"/>
  <c r="J647" i="1" s="1"/>
  <c r="J552" i="1"/>
  <c r="I552" i="1"/>
  <c r="H545" i="1"/>
  <c r="L539" i="1"/>
  <c r="H552" i="1"/>
  <c r="G552" i="1"/>
  <c r="G545" i="1"/>
  <c r="K550" i="1"/>
  <c r="I545" i="1"/>
  <c r="K551" i="1"/>
  <c r="F552" i="1"/>
  <c r="K549" i="1"/>
  <c r="L524" i="1"/>
  <c r="G164" i="2"/>
  <c r="G161" i="2"/>
  <c r="G157" i="2"/>
  <c r="G156" i="2"/>
  <c r="G476" i="1"/>
  <c r="H623" i="1" s="1"/>
  <c r="J623" i="1" s="1"/>
  <c r="I476" i="1"/>
  <c r="H625" i="1" s="1"/>
  <c r="G461" i="1"/>
  <c r="H640" i="1" s="1"/>
  <c r="J640" i="1" s="1"/>
  <c r="L427" i="1"/>
  <c r="H408" i="1"/>
  <c r="H644" i="1" s="1"/>
  <c r="L401" i="1"/>
  <c r="C139" i="2" s="1"/>
  <c r="G408" i="1"/>
  <c r="H645" i="1" s="1"/>
  <c r="L393" i="1"/>
  <c r="C138" i="2" s="1"/>
  <c r="C29" i="10"/>
  <c r="J634" i="1"/>
  <c r="L362" i="1"/>
  <c r="C27" i="10" s="1"/>
  <c r="D29" i="13"/>
  <c r="C29" i="13" s="1"/>
  <c r="D127" i="2"/>
  <c r="D128" i="2" s="1"/>
  <c r="D145" i="2" s="1"/>
  <c r="E119" i="2"/>
  <c r="E111" i="2"/>
  <c r="L328" i="1"/>
  <c r="G338" i="1"/>
  <c r="G352" i="1" s="1"/>
  <c r="L309" i="1"/>
  <c r="E125" i="2"/>
  <c r="E112" i="2"/>
  <c r="L290" i="1"/>
  <c r="E110" i="2"/>
  <c r="H338" i="1"/>
  <c r="H352" i="1" s="1"/>
  <c r="F338" i="1"/>
  <c r="F352" i="1" s="1"/>
  <c r="C132" i="2"/>
  <c r="L270" i="1"/>
  <c r="J651" i="1"/>
  <c r="C16" i="10"/>
  <c r="C112" i="2"/>
  <c r="C111" i="2"/>
  <c r="L247" i="1"/>
  <c r="C18" i="10"/>
  <c r="C17" i="10"/>
  <c r="C119" i="2"/>
  <c r="D6" i="13"/>
  <c r="C6" i="13" s="1"/>
  <c r="J257" i="1"/>
  <c r="J271" i="1" s="1"/>
  <c r="I257" i="1"/>
  <c r="I271" i="1" s="1"/>
  <c r="F257" i="1"/>
  <c r="F271" i="1" s="1"/>
  <c r="A40" i="12"/>
  <c r="C11" i="10"/>
  <c r="C10" i="10"/>
  <c r="G257" i="1"/>
  <c r="G271" i="1" s="1"/>
  <c r="L229" i="1"/>
  <c r="D14" i="13"/>
  <c r="C14" i="13" s="1"/>
  <c r="C20" i="10"/>
  <c r="K257" i="1"/>
  <c r="K271" i="1" s="1"/>
  <c r="C15" i="10"/>
  <c r="C118" i="2"/>
  <c r="C110" i="2"/>
  <c r="H257" i="1"/>
  <c r="H271" i="1" s="1"/>
  <c r="L211" i="1"/>
  <c r="D5" i="13"/>
  <c r="C5" i="13" s="1"/>
  <c r="C109" i="2"/>
  <c r="A13" i="12"/>
  <c r="F192" i="1"/>
  <c r="G645" i="1"/>
  <c r="J645" i="1" s="1"/>
  <c r="C91" i="2"/>
  <c r="E62" i="2"/>
  <c r="E63" i="2" s="1"/>
  <c r="D62" i="2"/>
  <c r="D63" i="2" s="1"/>
  <c r="J622" i="1"/>
  <c r="J625" i="1"/>
  <c r="J624" i="1"/>
  <c r="D18" i="2"/>
  <c r="F18" i="2"/>
  <c r="C18" i="2"/>
  <c r="J617" i="1"/>
  <c r="C16" i="13"/>
  <c r="J644" i="1"/>
  <c r="L382" i="1"/>
  <c r="G636" i="1" s="1"/>
  <c r="J636" i="1" s="1"/>
  <c r="E109" i="2"/>
  <c r="D15" i="13"/>
  <c r="C15" i="13" s="1"/>
  <c r="C57" i="2"/>
  <c r="C62" i="2" s="1"/>
  <c r="C63" i="2" s="1"/>
  <c r="F662" i="1"/>
  <c r="I662" i="1" s="1"/>
  <c r="H25" i="13"/>
  <c r="C21" i="10"/>
  <c r="C121" i="2"/>
  <c r="G661" i="1"/>
  <c r="E8" i="13"/>
  <c r="C8" i="13" s="1"/>
  <c r="K338" i="1"/>
  <c r="K352" i="1" s="1"/>
  <c r="H52" i="1"/>
  <c r="H619" i="1" s="1"/>
  <c r="J619" i="1" s="1"/>
  <c r="C32" i="10"/>
  <c r="F661" i="1"/>
  <c r="G112" i="1"/>
  <c r="K503" i="1"/>
  <c r="E118" i="2"/>
  <c r="C13" i="10"/>
  <c r="C12" i="10"/>
  <c r="H112" i="1"/>
  <c r="H193" i="1" s="1"/>
  <c r="G629" i="1" s="1"/>
  <c r="J629" i="1" s="1"/>
  <c r="I452" i="1"/>
  <c r="I461" i="1" s="1"/>
  <c r="H642" i="1" s="1"/>
  <c r="J642" i="1" s="1"/>
  <c r="D12" i="13"/>
  <c r="C12" i="13" s="1"/>
  <c r="C35" i="10"/>
  <c r="G649" i="1"/>
  <c r="J649" i="1" s="1"/>
  <c r="J338" i="1"/>
  <c r="J352" i="1" s="1"/>
  <c r="C124" i="2"/>
  <c r="C120" i="2"/>
  <c r="C81" i="2"/>
  <c r="L544" i="1"/>
  <c r="L614" i="1"/>
  <c r="K500" i="1"/>
  <c r="I52" i="1"/>
  <c r="H620" i="1" s="1"/>
  <c r="J620" i="1" s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G18" i="2" s="1"/>
  <c r="J19" i="1"/>
  <c r="G621" i="1" s="1"/>
  <c r="F545" i="1"/>
  <c r="H434" i="1"/>
  <c r="D103" i="2"/>
  <c r="I140" i="1"/>
  <c r="A22" i="12"/>
  <c r="G50" i="2"/>
  <c r="J652" i="1"/>
  <c r="G571" i="1"/>
  <c r="I434" i="1"/>
  <c r="G434" i="1"/>
  <c r="I663" i="1"/>
  <c r="K552" i="1" l="1"/>
  <c r="L545" i="1"/>
  <c r="L408" i="1"/>
  <c r="G637" i="1" s="1"/>
  <c r="J637" i="1" s="1"/>
  <c r="C141" i="2"/>
  <c r="C144" i="2" s="1"/>
  <c r="H646" i="1"/>
  <c r="J646" i="1" s="1"/>
  <c r="G635" i="1"/>
  <c r="J635" i="1" s="1"/>
  <c r="H660" i="1"/>
  <c r="H664" i="1" s="1"/>
  <c r="H672" i="1" s="1"/>
  <c r="C6" i="10" s="1"/>
  <c r="L338" i="1"/>
  <c r="L352" i="1" s="1"/>
  <c r="G633" i="1" s="1"/>
  <c r="J633" i="1" s="1"/>
  <c r="G660" i="1"/>
  <c r="G664" i="1" s="1"/>
  <c r="E128" i="2"/>
  <c r="E115" i="2"/>
  <c r="F660" i="1"/>
  <c r="C115" i="2"/>
  <c r="C128" i="2"/>
  <c r="L257" i="1"/>
  <c r="L271" i="1" s="1"/>
  <c r="G632" i="1" s="1"/>
  <c r="J632" i="1" s="1"/>
  <c r="I193" i="1"/>
  <c r="G630" i="1" s="1"/>
  <c r="J630" i="1" s="1"/>
  <c r="F104" i="2"/>
  <c r="E104" i="2"/>
  <c r="C104" i="2"/>
  <c r="C36" i="10"/>
  <c r="D104" i="2"/>
  <c r="C28" i="10"/>
  <c r="D19" i="10" s="1"/>
  <c r="I661" i="1"/>
  <c r="C25" i="13"/>
  <c r="H33" i="13"/>
  <c r="H648" i="1"/>
  <c r="J648" i="1" s="1"/>
  <c r="E33" i="13"/>
  <c r="D35" i="13" s="1"/>
  <c r="D31" i="13"/>
  <c r="C31" i="13" s="1"/>
  <c r="G51" i="2"/>
  <c r="G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67" i="1" l="1"/>
  <c r="I660" i="1"/>
  <c r="I664" i="1" s="1"/>
  <c r="I672" i="1" s="1"/>
  <c r="C7" i="10" s="1"/>
  <c r="E145" i="2"/>
  <c r="F664" i="1"/>
  <c r="F672" i="1" s="1"/>
  <c r="C4" i="10" s="1"/>
  <c r="C145" i="2"/>
  <c r="D20" i="10"/>
  <c r="D13" i="10"/>
  <c r="D18" i="10"/>
  <c r="D21" i="10"/>
  <c r="D12" i="10"/>
  <c r="D16" i="10"/>
  <c r="D26" i="10"/>
  <c r="D22" i="10"/>
  <c r="D11" i="10"/>
  <c r="D24" i="10"/>
  <c r="D17" i="10"/>
  <c r="D23" i="10"/>
  <c r="D27" i="10"/>
  <c r="C30" i="10"/>
  <c r="D10" i="10"/>
  <c r="D25" i="10"/>
  <c r="D15" i="10"/>
  <c r="D33" i="13"/>
  <c r="D36" i="13" s="1"/>
  <c r="G672" i="1"/>
  <c r="C5" i="10" s="1"/>
  <c r="G667" i="1"/>
  <c r="H656" i="1"/>
  <c r="C41" i="10"/>
  <c r="D38" i="10" s="1"/>
  <c r="F667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<sst xmlns="http://schemas.openxmlformats.org/spreadsheetml/2006/main" count="3959" uniqueCount="917">
  <si>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</si>
  <si>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</si>
  <si>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</si>
  <si>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</si>
  <si>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</si>
  <si>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</si>
  <si>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</si>
  <si>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</si>
  <si>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</si>
  <si>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</si>
  <si>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</si>
  <si>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</si>
  <si>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</si>
  <si>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</si>
  <si>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</si>
  <si>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</si>
  <si>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</si>
  <si>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</si>
  <si>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</si>
  <si>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</si>
  <si>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</si>
  <si>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</si>
  <si>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</si>
  <si>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</si>
  <si>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</si>
  <si>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</si>
  <si>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</si>
  <si>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</si>
  <si>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</si>
  <si>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</si>
  <si>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</si>
  <si>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</si>
  <si>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</si>
  <si>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</si>
  <si>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</si>
  <si>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</si>
  <si>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</si>
  <si>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</si>
  <si>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</si>
  <si>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</si>
  <si>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</si>
  <si>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</si>
  <si>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</si>
  <si>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</si>
  <si>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</si>
  <si>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</si>
  <si>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</si>
  <si>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</si>
  <si>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</si>
  <si>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</si>
  <si>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</si>
  <si>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</si>
  <si>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</si>
  <si>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</si>
  <si>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</si>
  <si>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</si>
  <si>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</si>
  <si>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</si>
  <si>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</si>
  <si>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</si>
  <si>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</si>
  <si>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</si>
  <si>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</si>
  <si>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</si>
  <si>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</si>
  <si>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</si>
  <si>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</si>
  <si>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</si>
  <si>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</si>
  <si>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</si>
  <si>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</si>
  <si>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</si>
  <si>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</si>
  <si>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</si>
  <si>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</si>
  <si>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</si>
  <si>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</si>
  <si>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</si>
  <si>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</si>
  <si>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</si>
  <si>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</si>
  <si>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</si>
  <si>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</si>
  <si>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</si>
  <si>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</si>
  <si>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</si>
  <si>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</si>
  <si>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</si>
  <si>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</si>
  <si>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</si>
  <si>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</si>
  <si>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</si>
  <si>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</si>
  <si>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</si>
  <si>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</si>
  <si>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</si>
  <si>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</si>
  <si>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</si>
  <si>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</si>
  <si>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</si>
  <si>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</si>
  <si>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</si>
  <si>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</si>
  <si>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</si>
  <si>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</si>
  <si>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</si>
  <si>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</si>
  <si>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</si>
  <si>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</si>
  <si>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</si>
  <si>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</si>
  <si>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</si>
  <si>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</si>
  <si>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</si>
  <si>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</si>
  <si>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</si>
  <si>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</si>
  <si>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</si>
  <si>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</si>
  <si>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</si>
  <si>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</si>
  <si>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</si>
  <si>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</si>
  <si>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</si>
  <si>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</si>
  <si>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</si>
  <si>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</si>
  <si>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</si>
  <si>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</si>
  <si>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</si>
  <si>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</si>
  <si>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</si>
  <si>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</si>
  <si>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</si>
  <si>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</si>
  <si>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</si>
  <si>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</si>
  <si>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</si>
  <si>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</si>
  <si>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</si>
  <si>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</si>
  <si>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</si>
  <si>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</si>
  <si>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</si>
  <si>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</si>
  <si>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</si>
  <si>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</si>
  <si>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</si>
  <si>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</si>
  <si>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</si>
  <si>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</si>
  <si>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</si>
  <si>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</si>
  <si>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</si>
  <si>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</si>
  <si>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</si>
  <si>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</si>
  <si>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</si>
  <si>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</si>
  <si>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</si>
  <si>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</si>
  <si>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</si>
  <si>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</si>
  <si>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</si>
  <si>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</si>
  <si>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</si>
  <si>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</si>
  <si>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</si>
  <si>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</si>
  <si>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</si>
  <si>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</si>
  <si>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</si>
  <si>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</si>
  <si>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</si>
  <si>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</si>
  <si>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</si>
  <si>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</si>
  <si>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</si>
  <si>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</si>
  <si>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</si>
  <si>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</si>
  <si>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</si>
  <si>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</si>
  <si>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</si>
  <si>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</si>
  <si>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</si>
  <si>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</si>
  <si>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</si>
  <si>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</si>
  <si>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</si>
  <si>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</si>
  <si>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</si>
  <si>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</si>
  <si>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</si>
  <si>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</si>
  <si>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</si>
  <si>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</si>
  <si>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</si>
  <si>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</si>
  <si>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</si>
  <si>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</si>
  <si>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</si>
  <si>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</si>
  <si>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</si>
  <si>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</si>
  <si>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</si>
  <si>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</si>
  <si>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</si>
  <si>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</si>
  <si>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</si>
  <si>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</si>
  <si>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</si>
  <si>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</si>
  <si>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</si>
  <si>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</si>
  <si>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</si>
  <si>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</si>
  <si>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</si>
  <si>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</si>
  <si>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</si>
  <si>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</si>
  <si>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</si>
  <si>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</si>
  <si>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</si>
  <si>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</si>
  <si>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</si>
  <si>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</si>
  <si>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</si>
  <si>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</si>
  <si>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</si>
  <si>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</si>
  <si>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</si>
  <si>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</si>
  <si>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</si>
  <si>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</si>
  <si>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</si>
  <si>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</si>
  <si>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</si>
  <si>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</si>
  <si>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</si>
  <si>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</si>
  <si>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</si>
  <si>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</si>
  <si>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</si>
  <si>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</si>
  <si>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</si>
  <si>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</si>
  <si>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</si>
  <si>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</si>
  <si>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</si>
  <si>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</si>
  <si>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</si>
  <si>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</si>
  <si>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</si>
  <si>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</si>
  <si>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</si>
  <si>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</si>
  <si>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</si>
  <si>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</si>
  <si>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</si>
  <si>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</si>
  <si>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</si>
  <si>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</si>
  <si>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</si>
  <si>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</si>
  <si>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</si>
  <si>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</si>
  <si>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</si>
  <si>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</si>
  <si>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</si>
  <si>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</si>
  <si>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</si>
  <si>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</si>
  <si>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</si>
  <si>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</si>
  <si>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</si>
  <si>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</si>
  <si>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</si>
  <si>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</si>
  <si>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</si>
  <si>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</si>
  <si>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</si>
  <si>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</si>
  <si>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</si>
  <si>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</si>
  <si>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</si>
  <si>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</si>
  <si>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</si>
  <si>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</si>
  <si>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</si>
  <si>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</si>
  <si>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</si>
  <si>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</si>
  <si>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</si>
  <si>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</si>
  <si>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</si>
  <si>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</si>
  <si>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</si>
  <si>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</si>
  <si>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</si>
  <si>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</si>
  <si>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</si>
  <si>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</si>
  <si>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</si>
  <si>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</si>
  <si>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</si>
  <si>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</si>
  <si>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</si>
  <si>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</si>
  <si>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</si>
  <si>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</si>
  <si>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</si>
  <si>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</si>
  <si>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</si>
  <si>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</si>
  <si>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</si>
  <si>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</si>
  <si>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</si>
  <si>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</si>
  <si>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</si>
  <si>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</si>
  <si>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</si>
  <si>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</si>
  <si>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</si>
  <si>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</si>
  <si>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</si>
  <si>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</si>
  <si>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</si>
  <si>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</si>
  <si>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</si>
  <si>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</si>
  <si>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</si>
  <si>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</si>
  <si>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</si>
  <si>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</si>
  <si>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</si>
  <si>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</si>
  <si>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</si>
  <si>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</si>
  <si>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</si>
  <si>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</si>
  <si>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</si>
  <si>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</si>
  <si>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</si>
  <si>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</si>
  <si>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</si>
  <si>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</si>
  <si>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</si>
  <si>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</si>
  <si>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</si>
  <si>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</si>
  <si>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</si>
  <si>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</si>
  <si>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</si>
  <si>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</si>
  <si>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</si>
  <si>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</si>
  <si>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</si>
  <si>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</si>
  <si>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</si>
  <si>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</si>
  <si>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</si>
  <si>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</si>
  <si>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</si>
  <si>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</si>
  <si>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</si>
  <si>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</si>
  <si>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</si>
  <si>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</si>
  <si>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</si>
  <si>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</si>
  <si>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</si>
  <si>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</si>
  <si>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</si>
  <si>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</si>
  <si>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</si>
  <si>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</si>
  <si>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</si>
  <si>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</si>
  <si>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</si>
  <si>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</si>
  <si>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</si>
  <si>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</si>
  <si>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</si>
  <si>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</si>
  <si>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</si>
  <si>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</si>
  <si>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</si>
  <si>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</si>
  <si>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</si>
  <si>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</si>
  <si>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</si>
  <si>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</si>
  <si>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</si>
  <si>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</si>
  <si>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</si>
  <si>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</si>
  <si>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</si>
  <si>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</si>
  <si>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</si>
  <si>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</si>
  <si>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</si>
  <si>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</si>
  <si>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</si>
  <si>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</si>
  <si>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</si>
  <si>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</si>
  <si>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</si>
  <si>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</si>
  <si>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</si>
  <si>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</si>
  <si>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</si>
  <si>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</si>
  <si>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</si>
  <si>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</si>
  <si>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</si>
  <si>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</si>
  <si>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</si>
  <si>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</si>
  <si>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</si>
  <si>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</si>
  <si>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</si>
  <si>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</si>
  <si>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</si>
  <si>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</si>
  <si>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</si>
  <si>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</si>
  <si>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</si>
  <si>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</si>
  <si>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</si>
  <si>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</si>
  <si>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</si>
  <si>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</si>
  <si>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</si>
  <si>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</si>
  <si>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</si>
  <si>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</si>
  <si>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</si>
  <si>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</si>
  <si>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</si>
  <si>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</si>
  <si>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</si>
  <si>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</si>
  <si>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</si>
  <si>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</si>
  <si>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</si>
  <si>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</si>
  <si>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</si>
  <si>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</si>
  <si>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</si>
  <si>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</si>
  <si>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</si>
  <si>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</si>
  <si>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</si>
  <si>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</si>
  <si>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</si>
  <si>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</si>
  <si>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</si>
  <si>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</si>
  <si>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</si>
  <si>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</si>
  <si>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</si>
  <si>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</si>
  <si>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</si>
  <si>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</si>
  <si>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</si>
  <si>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</si>
  <si>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</si>
  <si>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</si>
  <si>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</si>
  <si>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</si>
  <si>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</si>
  <si>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</si>
  <si>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</si>
  <si>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</si>
  <si>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</si>
  <si>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</si>
  <si>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</si>
  <si>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</si>
  <si>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</si>
  <si>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</si>
  <si>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</si>
  <si>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</si>
  <si>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</si>
  <si>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</si>
  <si>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</si>
  <si>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</si>
  <si>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</si>
  <si>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</si>
  <si>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</si>
  <si>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</si>
  <si>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</si>
  <si>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</si>
  <si>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</si>
  <si>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</si>
  <si>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</si>
  <si>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</si>
  <si>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</si>
  <si>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</si>
  <si>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</si>
  <si>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</si>
  <si>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</si>
  <si>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</si>
  <si>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</si>
  <si>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</si>
  <si>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</si>
  <si>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</si>
  <si>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</si>
  <si>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</si>
  <si>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</si>
  <si>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</si>
  <si>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</si>
  <si>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</si>
  <si>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</si>
  <si>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</si>
  <si>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</si>
  <si>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</si>
  <si>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</si>
  <si>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</si>
  <si>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</si>
  <si>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</si>
  <si>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</si>
  <si>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</si>
  <si>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</si>
  <si>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</si>
  <si>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</si>
  <si>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</si>
  <si>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</si>
  <si>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</si>
  <si>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</si>
  <si>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</si>
  <si>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</si>
  <si>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</si>
  <si>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</si>
  <si>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</si>
  <si>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</si>
  <si>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</si>
  <si>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</si>
  <si>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</si>
  <si>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</si>
  <si>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</si>
  <si>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</si>
  <si>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</si>
  <si>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</si>
  <si>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</si>
  <si>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</si>
  <si>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</si>
  <si>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</si>
  <si>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</si>
  <si>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</si>
  <si>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</si>
  <si>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</si>
  <si>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</si>
  <si>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</si>
  <si>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</si>
  <si>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</si>
  <si>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</si>
  <si>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</si>
  <si>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</si>
  <si>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</si>
  <si>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</si>
  <si>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</si>
  <si>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</si>
  <si>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</si>
  <si>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</si>
  <si>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</si>
  <si>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</si>
  <si>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</si>
  <si>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</si>
  <si>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</si>
  <si>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</si>
  <si>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</si>
  <si>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</si>
  <si>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</si>
  <si>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</si>
  <si>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</si>
  <si>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</si>
  <si>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</si>
  <si>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</si>
  <si>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</si>
  <si>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</si>
  <si>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</si>
  <si>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</si>
  <si>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</si>
  <si>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</si>
  <si>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</si>
  <si>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</si>
  <si>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</si>
  <si>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</si>
  <si>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</si>
  <si>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</si>
  <si>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</si>
  <si>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</si>
  <si>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</si>
  <si>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</si>
  <si>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</si>
  <si>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</si>
  <si>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</si>
  <si>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</si>
  <si>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</si>
  <si>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</si>
  <si>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</si>
  <si>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</si>
  <si>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</si>
  <si>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</si>
  <si>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</si>
  <si>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</si>
  <si>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</si>
  <si>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</si>
  <si>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</si>
  <si>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</si>
  <si>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</si>
  <si>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</si>
  <si>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</si>
  <si>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</si>
  <si>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</si>
  <si>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</si>
  <si>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</si>
  <si>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</si>
  <si>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</si>
  <si>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</si>
  <si>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</si>
  <si>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</si>
  <si>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</si>
  <si>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</si>
  <si>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</si>
  <si>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</si>
  <si>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</si>
  <si>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</si>
  <si>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</si>
  <si>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</si>
  <si>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</si>
  <si>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</si>
  <si>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</si>
  <si>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</si>
  <si>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</si>
  <si>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</si>
  <si>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</si>
  <si>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</si>
  <si>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</si>
  <si>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</si>
  <si>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</si>
  <si>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</si>
  <si>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</si>
  <si>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</si>
  <si>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</si>
  <si>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</si>
  <si>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</si>
  <si>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</si>
  <si>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</si>
  <si>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</si>
  <si>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</si>
  <si>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</si>
  <si>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</si>
  <si>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</si>
  <si>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</si>
  <si>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</si>
  <si>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</si>
  <si>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</si>
  <si>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</si>
  <si>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</si>
  <si>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</si>
  <si>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</si>
  <si>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</si>
  <si>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</si>
  <si>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</si>
  <si>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</si>
  <si>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</si>
  <si>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</si>
  <si>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</si>
  <si>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</si>
  <si>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</si>
  <si>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</si>
  <si>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</si>
  <si>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</si>
  <si>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</si>
  <si>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</si>
  <si>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</si>
  <si>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</si>
  <si>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</si>
  <si>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</si>
  <si>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</si>
  <si>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</si>
  <si>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</si>
  <si>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</si>
  <si>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</si>
  <si>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</si>
  <si>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</si>
  <si>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</si>
  <si>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</si>
  <si>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</si>
  <si>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</si>
  <si>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</si>
  <si>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</si>
  <si>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</si>
  <si>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</si>
  <si>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</si>
  <si>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</si>
  <si>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</si>
  <si>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</si>
  <si>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</si>
  <si>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</si>
  <si>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</si>
  <si>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</si>
  <si>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</si>
  <si>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</si>
  <si>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</si>
  <si>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</si>
  <si>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</si>
  <si>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</si>
  <si>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</si>
  <si>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</si>
  <si>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</si>
  <si>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</si>
  <si>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</si>
  <si>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</si>
  <si>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</si>
  <si>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</si>
  <si>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</si>
  <si>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</si>
  <si>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</si>
  <si>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</si>
  <si>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</si>
  <si>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</si>
  <si>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</si>
  <si>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</si>
  <si>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</si>
  <si>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</si>
  <si>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</si>
  <si>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</si>
  <si>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</si>
  <si>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</si>
  <si>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</si>
  <si>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</si>
  <si>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</si>
  <si>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</si>
  <si>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</si>
  <si>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</si>
  <si>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</si>
  <si>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</si>
  <si>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</si>
  <si>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</si>
  <si>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</si>
  <si>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</si>
  <si>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</si>
  <si>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</si>
  <si>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</si>
  <si>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</si>
  <si>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</si>
  <si>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</si>
  <si>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</si>
  <si>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</si>
  <si>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</si>
  <si>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</si>
  <si>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</si>
  <si>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</si>
  <si>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</si>
  <si>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</si>
  <si>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</si>
  <si>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</si>
  <si>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</si>
  <si>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</si>
  <si>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</si>
  <si>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</si>
  <si>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</si>
  <si>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</si>
  <si>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</si>
  <si>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</si>
  <si>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</si>
  <si>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</si>
  <si>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</si>
  <si>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</si>
  <si>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</si>
  <si>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</si>
  <si>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</si>
  <si>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</si>
  <si>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</si>
  <si>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</si>
  <si>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</si>
  <si>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</si>
  <si>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</si>
  <si>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</si>
  <si>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</si>
  <si>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</si>
  <si>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</si>
  <si>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</si>
  <si>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</si>
  <si>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</si>
  <si>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</si>
  <si>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</si>
  <si>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</si>
  <si>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</si>
  <si>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</si>
  <si>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</si>
  <si>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</si>
  <si>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</si>
  <si>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</si>
  <si>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</si>
  <si>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</si>
  <si>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</si>
  <si>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</si>
  <si>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</si>
  <si>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</si>
  <si>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</si>
  <si>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</si>
  <si>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</si>
  <si>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</si>
  <si>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</si>
  <si>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</si>
  <si>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</si>
  <si>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</si>
  <si>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</si>
  <si>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</si>
  <si>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</si>
  <si>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</si>
  <si>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</si>
  <si>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</si>
  <si>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</si>
  <si>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</si>
  <si>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</si>
  <si>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</si>
  <si>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</si>
  <si>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</si>
  <si>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</si>
  <si>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</si>
  <si>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</si>
  <si>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</si>
  <si>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</si>
  <si>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</si>
  <si>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</si>
  <si>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</si>
  <si>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</si>
  <si>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</si>
  <si>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</si>
  <si>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</si>
  <si>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</si>
  <si>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</si>
  <si>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</si>
  <si>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</si>
  <si>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</si>
  <si>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</si>
  <si>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</si>
  <si>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</si>
  <si>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</si>
  <si>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</si>
  <si>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</si>
  <si>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</si>
  <si>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</si>
  <si>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</si>
  <si>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</si>
  <si>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</si>
  <si>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</si>
  <si>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</si>
  <si>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</si>
  <si>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</si>
  <si>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</si>
  <si>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</si>
  <si>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</si>
  <si>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</si>
  <si>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</si>
  <si>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</si>
  <si>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</si>
  <si>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</si>
  <si>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</si>
  <si>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</si>
  <si>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</si>
  <si>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</si>
  <si>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</si>
  <si>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</si>
  <si>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</si>
  <si>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</si>
  <si>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</si>
  <si>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</si>
  <si>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</si>
  <si>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</si>
  <si>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</si>
  <si>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</si>
  <si>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</si>
  <si>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</si>
  <si>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</si>
  <si>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</si>
  <si>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</si>
  <si>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</si>
  <si>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</si>
  <si>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</si>
  <si>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</si>
  <si>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</si>
  <si>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</si>
  <si>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</si>
  <si>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</si>
  <si>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</si>
  <si>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</si>
  <si>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</si>
  <si>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</si>
  <si>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</si>
  <si>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</si>
  <si>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</si>
  <si>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</si>
  <si>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</si>
  <si>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</si>
  <si>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</si>
  <si>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</si>
  <si>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</si>
  <si>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</si>
  <si>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</si>
  <si>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</si>
  <si>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</si>
  <si>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</si>
  <si>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</si>
  <si>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</si>
  <si>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</si>
  <si>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</si>
  <si>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1/2024</t>
  </si>
  <si>
    <t>12/2003</t>
  </si>
  <si>
    <t>7/2016</t>
  </si>
  <si>
    <t>6/2037</t>
  </si>
  <si>
    <t>CONWAY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</si>
</sst>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I665" sqref="I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916</v>
      </c>
      <c r="B2" s="21">
        <v>113</v>
      </c>
      <c r="C2" s="21">
        <v>113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1076927.78+450</f>
        <v>1077377.78</v>
      </c>
      <c r="G9" s="18">
        <v>272467.73</v>
      </c>
      <c r="H9" s="18">
        <v>0</v>
      </c>
      <c r="I9" s="18">
        <v>0</v>
      </c>
      <c r="J9" s="67">
        <f>SUM(I439)</f>
        <v>1603283.8900000001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889114.45</v>
      </c>
      <c r="G12" s="18">
        <v>193242.87</v>
      </c>
      <c r="H12" s="18"/>
      <c r="I12" s="18">
        <v>49165</v>
      </c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142099.18</v>
      </c>
      <c r="G13" s="18">
        <v>67783.62</v>
      </c>
      <c r="H13" s="18">
        <v>463973.61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18579.11</v>
      </c>
      <c r="G14" s="18">
        <v>1452.44</v>
      </c>
      <c r="H14" s="18">
        <v>8350.11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35671.79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2127170.52</v>
      </c>
      <c r="G19" s="41">
        <f>SUM(G9:G18)</f>
        <v>570618.44999999995</v>
      </c>
      <c r="H19" s="41">
        <f>SUM(H9:H18)</f>
        <v>472323.72</v>
      </c>
      <c r="I19" s="41">
        <f>SUM(I9:I18)</f>
        <v>49165</v>
      </c>
      <c r="J19" s="41">
        <f>SUM(J9:J18)</f>
        <v>1603283.8900000001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242407.87</v>
      </c>
      <c r="G22" s="18">
        <v>534758.57999999996</v>
      </c>
      <c r="H22" s="18">
        <v>292614.34999999998</v>
      </c>
      <c r="I22" s="18"/>
      <c r="J22" s="67">
        <f>SUM(I448)</f>
        <v>61741.52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63404.5</v>
      </c>
      <c r="G24" s="18">
        <v>188.08</v>
      </c>
      <c r="H24" s="18">
        <v>2416.7600000000002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29239.31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765.25</v>
      </c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335816.93</v>
      </c>
      <c r="G32" s="41">
        <f>SUM(G22:G31)</f>
        <v>534946.65999999992</v>
      </c>
      <c r="H32" s="41">
        <f>SUM(H22:H31)</f>
        <v>295031.11</v>
      </c>
      <c r="I32" s="41">
        <f>SUM(I22:I31)</f>
        <v>0</v>
      </c>
      <c r="J32" s="41">
        <f>SUM(J22:J31)</f>
        <v>61741.52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35671.79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214850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v>177292.61</v>
      </c>
      <c r="I48" s="18">
        <v>49165</v>
      </c>
      <c r="J48" s="13">
        <f>SUM(I459)</f>
        <v>1541542.37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7500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1354154.59+214849</f>
        <v>1569003.59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1791353.59</v>
      </c>
      <c r="G51" s="41">
        <f>SUM(G35:G50)</f>
        <v>35671.79</v>
      </c>
      <c r="H51" s="41">
        <f>SUM(H35:H50)</f>
        <v>177292.61</v>
      </c>
      <c r="I51" s="41">
        <f>SUM(I35:I50)</f>
        <v>49165</v>
      </c>
      <c r="J51" s="41">
        <f>SUM(J35:J50)</f>
        <v>1541542.37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2127170.52</v>
      </c>
      <c r="G52" s="41">
        <f>G51+G32</f>
        <v>570618.44999999995</v>
      </c>
      <c r="H52" s="41">
        <f>H51+H32</f>
        <v>472323.72</v>
      </c>
      <c r="I52" s="41">
        <f>I51+I32</f>
        <v>49165</v>
      </c>
      <c r="J52" s="41">
        <f>J51+J32</f>
        <v>1603283.8900000001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13822646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13822646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625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9427196.1600000001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9427821.1600000001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>
        <v>42467.360000000001</v>
      </c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42467.360000000001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2469.56</v>
      </c>
      <c r="G96" s="18"/>
      <c r="H96" s="18"/>
      <c r="I96" s="18"/>
      <c r="J96" s="18">
        <v>3944.32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272383.49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35022.050000000003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366547.13</v>
      </c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31990.240000000002</v>
      </c>
      <c r="G110" s="18">
        <v>252.58</v>
      </c>
      <c r="H110" s="18">
        <v>240914.81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436028.98</v>
      </c>
      <c r="G111" s="41">
        <f>SUM(G96:G110)</f>
        <v>272636.07</v>
      </c>
      <c r="H111" s="41">
        <f>SUM(H96:H110)</f>
        <v>240914.81</v>
      </c>
      <c r="I111" s="41">
        <f>SUM(I96:I110)</f>
        <v>0</v>
      </c>
      <c r="J111" s="41">
        <f>SUM(J96:J110)</f>
        <v>3944.32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23728963.5</v>
      </c>
      <c r="G112" s="41">
        <f>G60+G111</f>
        <v>272636.07</v>
      </c>
      <c r="H112" s="41">
        <f>H60+H79+H94+H111</f>
        <v>240914.81</v>
      </c>
      <c r="I112" s="41">
        <f>I60+I111</f>
        <v>0</v>
      </c>
      <c r="J112" s="41">
        <f>J60+J111</f>
        <v>3944.32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3139379.76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3365331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6456.45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6511167.21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1060664.08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212951.5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>
        <v>47008.91</v>
      </c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8715.9699999999993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1273615.58</v>
      </c>
      <c r="G136" s="41">
        <f>SUM(G123:G135)</f>
        <v>8715.9699999999993</v>
      </c>
      <c r="H136" s="41">
        <f>SUM(H123:H135)</f>
        <v>47008.91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7784782.79</v>
      </c>
      <c r="G140" s="41">
        <f>G121+SUM(G136:G137)</f>
        <v>8715.9699999999993</v>
      </c>
      <c r="H140" s="41">
        <f>H121+SUM(H136:H139)</f>
        <v>47008.91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673813.64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320446.05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84141.69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372668.51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392599.51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257976.87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257976.87</v>
      </c>
      <c r="G162" s="41">
        <f>SUM(G150:G161)</f>
        <v>372668.51</v>
      </c>
      <c r="H162" s="41">
        <f>SUM(H150:H161)</f>
        <v>1471000.89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833.89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258810.76</v>
      </c>
      <c r="G169" s="41">
        <f>G147+G162+SUM(G163:G168)</f>
        <v>372668.51</v>
      </c>
      <c r="H169" s="41">
        <f>H147+H162+SUM(H163:H168)</f>
        <v>1471000.89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>
        <v>1837700</v>
      </c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>
        <v>162300</v>
      </c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2000000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178407.59</v>
      </c>
      <c r="H179" s="18"/>
      <c r="I179" s="18"/>
      <c r="J179" s="18">
        <v>181429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178407.59</v>
      </c>
      <c r="H183" s="41">
        <f>SUM(H179:H182)</f>
        <v>0</v>
      </c>
      <c r="I183" s="41">
        <f>SUM(I179:I182)</f>
        <v>0</v>
      </c>
      <c r="J183" s="41">
        <f>SUM(J179:J182)</f>
        <v>181429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61741.52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61741.52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61741.52</v>
      </c>
      <c r="G192" s="41">
        <f>G183+SUM(G188:G191)</f>
        <v>178407.59</v>
      </c>
      <c r="H192" s="41">
        <f>+H183+SUM(H188:H191)</f>
        <v>0</v>
      </c>
      <c r="I192" s="41">
        <f>I177+I183+SUM(I188:I191)</f>
        <v>2000000</v>
      </c>
      <c r="J192" s="41">
        <f>J183</f>
        <v>181429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31834298.57</v>
      </c>
      <c r="G193" s="47">
        <f>G112+G140+G169+G192</f>
        <v>832428.14</v>
      </c>
      <c r="H193" s="47">
        <f>H112+H140+H169+H192</f>
        <v>1758924.6099999999</v>
      </c>
      <c r="I193" s="47">
        <f>I112+I140+I169+I192</f>
        <v>2000000</v>
      </c>
      <c r="J193" s="47">
        <f>J112+J140+J192</f>
        <v>185373.32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2730375.65+113313</f>
        <v>2843688.65</v>
      </c>
      <c r="G197" s="18">
        <f>1531149.5+616947.85</f>
        <v>2148097.35</v>
      </c>
      <c r="H197" s="18">
        <v>15521.28</v>
      </c>
      <c r="I197" s="18">
        <v>148981.79</v>
      </c>
      <c r="J197" s="18">
        <v>148583.16</v>
      </c>
      <c r="K197" s="18"/>
      <c r="L197" s="19">
        <f>SUM(F197:K197)</f>
        <v>5304872.2300000004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1377086.97</v>
      </c>
      <c r="G198" s="18">
        <v>970803.27</v>
      </c>
      <c r="H198" s="18">
        <v>633927.67000000004</v>
      </c>
      <c r="I198" s="18">
        <v>1750.86</v>
      </c>
      <c r="J198" s="18">
        <v>432.32</v>
      </c>
      <c r="K198" s="18"/>
      <c r="L198" s="19">
        <f>SUM(F198:K198)</f>
        <v>2984001.09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30654.47</v>
      </c>
      <c r="G200" s="18">
        <v>3890.12</v>
      </c>
      <c r="H200" s="18">
        <v>4870.8</v>
      </c>
      <c r="I200" s="18">
        <v>340.48</v>
      </c>
      <c r="J200" s="18">
        <v>0</v>
      </c>
      <c r="K200" s="18"/>
      <c r="L200" s="19">
        <f>SUM(F200:K200)</f>
        <v>39755.87000000001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562101.87</v>
      </c>
      <c r="G202" s="18">
        <v>382691.94</v>
      </c>
      <c r="H202" s="18">
        <v>76265.36</v>
      </c>
      <c r="I202" s="18">
        <v>5514.25</v>
      </c>
      <c r="J202" s="18">
        <v>0</v>
      </c>
      <c r="K202" s="18"/>
      <c r="L202" s="19">
        <f t="shared" ref="L202:L208" si="0">SUM(F202:K202)</f>
        <v>1026573.42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107333.1</v>
      </c>
      <c r="G203" s="18">
        <v>100081.84</v>
      </c>
      <c r="H203" s="18">
        <v>31176.14</v>
      </c>
      <c r="I203" s="18">
        <v>27096.04</v>
      </c>
      <c r="J203" s="18">
        <v>3342.6</v>
      </c>
      <c r="K203" s="18"/>
      <c r="L203" s="19">
        <f t="shared" si="0"/>
        <v>269029.71999999997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9110.48</v>
      </c>
      <c r="G204" s="18">
        <v>696.99</v>
      </c>
      <c r="H204" s="18">
        <v>506968.12</v>
      </c>
      <c r="I204" s="18">
        <v>1681.38</v>
      </c>
      <c r="J204" s="18">
        <v>0</v>
      </c>
      <c r="K204" s="18">
        <v>2312.63</v>
      </c>
      <c r="L204" s="19">
        <f t="shared" si="0"/>
        <v>520769.6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338299.9</v>
      </c>
      <c r="G205" s="18">
        <v>172076.35</v>
      </c>
      <c r="H205" s="18">
        <v>51622.55</v>
      </c>
      <c r="I205" s="18">
        <v>3559.89</v>
      </c>
      <c r="J205" s="18">
        <v>1992.05</v>
      </c>
      <c r="K205" s="18">
        <v>2708</v>
      </c>
      <c r="L205" s="19">
        <f t="shared" si="0"/>
        <v>570258.74000000011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323918.48</v>
      </c>
      <c r="G207" s="18">
        <v>184333.66</v>
      </c>
      <c r="H207" s="18">
        <v>366954.7</v>
      </c>
      <c r="I207" s="18">
        <v>229458.78</v>
      </c>
      <c r="J207" s="18">
        <v>18123.78</v>
      </c>
      <c r="K207" s="18"/>
      <c r="L207" s="19">
        <f t="shared" si="0"/>
        <v>1122789.4000000001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150575.39000000001</v>
      </c>
      <c r="G208" s="18">
        <v>72413.38</v>
      </c>
      <c r="H208" s="18">
        <v>24294.12</v>
      </c>
      <c r="I208" s="18">
        <v>34635.480000000003</v>
      </c>
      <c r="J208" s="18">
        <v>63879</v>
      </c>
      <c r="K208" s="18"/>
      <c r="L208" s="19">
        <f t="shared" si="0"/>
        <v>345797.37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>
        <v>1395.15</v>
      </c>
      <c r="I209" s="18"/>
      <c r="J209" s="18"/>
      <c r="K209" s="18"/>
      <c r="L209" s="19">
        <f>SUM(F209:K209)</f>
        <v>1395.15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5742769.3099999996</v>
      </c>
      <c r="G211" s="41">
        <f t="shared" si="1"/>
        <v>4035084.9000000004</v>
      </c>
      <c r="H211" s="41">
        <f t="shared" si="1"/>
        <v>1712995.8900000001</v>
      </c>
      <c r="I211" s="41">
        <f t="shared" si="1"/>
        <v>453018.95</v>
      </c>
      <c r="J211" s="41">
        <f t="shared" si="1"/>
        <v>236352.91</v>
      </c>
      <c r="K211" s="41">
        <f t="shared" si="1"/>
        <v>5020.63</v>
      </c>
      <c r="L211" s="41">
        <f t="shared" si="1"/>
        <v>12185242.590000002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f>1124990.92+73312.25</f>
        <v>1198303.17</v>
      </c>
      <c r="G215" s="18">
        <f>587260.69+232988.96</f>
        <v>820249.64999999991</v>
      </c>
      <c r="H215" s="18">
        <v>13974.66</v>
      </c>
      <c r="I215" s="18">
        <v>57666.51</v>
      </c>
      <c r="J215" s="18">
        <v>72266.22</v>
      </c>
      <c r="K215" s="18"/>
      <c r="L215" s="19">
        <f>SUM(F215:K215)</f>
        <v>2162460.21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382628.5</v>
      </c>
      <c r="G216" s="18">
        <v>262402.98</v>
      </c>
      <c r="H216" s="18">
        <v>80999.66</v>
      </c>
      <c r="I216" s="18">
        <v>6088.28</v>
      </c>
      <c r="J216" s="18">
        <v>1788.92</v>
      </c>
      <c r="K216" s="18"/>
      <c r="L216" s="19">
        <f>SUM(F216:K216)</f>
        <v>733908.34000000008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63946</v>
      </c>
      <c r="G218" s="18">
        <v>7231.84</v>
      </c>
      <c r="H218" s="18">
        <v>15814.51</v>
      </c>
      <c r="I218" s="18">
        <v>7755.14</v>
      </c>
      <c r="J218" s="18">
        <v>2150</v>
      </c>
      <c r="K218" s="18">
        <v>1684</v>
      </c>
      <c r="L218" s="19">
        <f>SUM(F218:K218)</f>
        <v>98581.489999999991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118149.44</v>
      </c>
      <c r="G220" s="18">
        <v>60844.32</v>
      </c>
      <c r="H220" s="18">
        <v>36551.42</v>
      </c>
      <c r="I220" s="18">
        <v>3789.81</v>
      </c>
      <c r="J220" s="18">
        <v>499.42</v>
      </c>
      <c r="K220" s="18">
        <v>171.41</v>
      </c>
      <c r="L220" s="19">
        <f t="shared" ref="L220:L226" si="2">SUM(F220:K220)</f>
        <v>220005.82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51679</v>
      </c>
      <c r="G221" s="18">
        <v>47759.83</v>
      </c>
      <c r="H221" s="18">
        <v>9168.25</v>
      </c>
      <c r="I221" s="18">
        <v>9383.2199999999993</v>
      </c>
      <c r="J221" s="18">
        <v>999.9</v>
      </c>
      <c r="K221" s="18">
        <v>285</v>
      </c>
      <c r="L221" s="19">
        <f t="shared" si="2"/>
        <v>119275.2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3405.6</v>
      </c>
      <c r="G222" s="18">
        <v>260.54000000000002</v>
      </c>
      <c r="H222" s="18">
        <v>189509.52</v>
      </c>
      <c r="I222" s="18">
        <v>628.52</v>
      </c>
      <c r="J222" s="18">
        <v>0</v>
      </c>
      <c r="K222" s="18">
        <v>864.48</v>
      </c>
      <c r="L222" s="19">
        <f t="shared" si="2"/>
        <v>194668.66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158742.56</v>
      </c>
      <c r="G223" s="18">
        <v>69238.320000000007</v>
      </c>
      <c r="H223" s="18">
        <v>28127.46</v>
      </c>
      <c r="I223" s="18">
        <v>1090.1600000000001</v>
      </c>
      <c r="J223" s="18">
        <v>490</v>
      </c>
      <c r="K223" s="18">
        <v>3546.59</v>
      </c>
      <c r="L223" s="19">
        <f t="shared" si="2"/>
        <v>261235.09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259884.42</v>
      </c>
      <c r="G225" s="18">
        <v>171261.31</v>
      </c>
      <c r="H225" s="18">
        <v>327252.46000000002</v>
      </c>
      <c r="I225" s="18">
        <v>194561.57</v>
      </c>
      <c r="J225" s="18">
        <v>10907.81</v>
      </c>
      <c r="K225" s="18"/>
      <c r="L225" s="19">
        <f t="shared" si="2"/>
        <v>963867.57000000007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46961.3</v>
      </c>
      <c r="G226" s="18">
        <v>23932.799999999999</v>
      </c>
      <c r="H226" s="18">
        <v>37702.370000000003</v>
      </c>
      <c r="I226" s="18">
        <v>12947.08</v>
      </c>
      <c r="J226" s="18">
        <v>23878</v>
      </c>
      <c r="K226" s="18"/>
      <c r="L226" s="19">
        <f t="shared" si="2"/>
        <v>145421.54999999999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>
        <v>521.52</v>
      </c>
      <c r="I227" s="18"/>
      <c r="J227" s="18"/>
      <c r="K227" s="18"/>
      <c r="L227" s="19">
        <f>SUM(F227:K227)</f>
        <v>521.52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2283699.9899999998</v>
      </c>
      <c r="G229" s="41">
        <f>SUM(G215:G228)</f>
        <v>1463181.5900000003</v>
      </c>
      <c r="H229" s="41">
        <f>SUM(H215:H228)</f>
        <v>739621.83000000007</v>
      </c>
      <c r="I229" s="41">
        <f>SUM(I215:I228)</f>
        <v>293910.29000000004</v>
      </c>
      <c r="J229" s="41">
        <f>SUM(J215:J228)</f>
        <v>112980.26999999999</v>
      </c>
      <c r="K229" s="41">
        <f t="shared" si="3"/>
        <v>6551.48</v>
      </c>
      <c r="L229" s="41">
        <f t="shared" si="3"/>
        <v>4899945.4499999993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2414312.99+88019.8</f>
        <v>2502332.79</v>
      </c>
      <c r="G233" s="18">
        <f>1485000.54+619357.59</f>
        <v>2104358.13</v>
      </c>
      <c r="H233" s="18">
        <v>10755.85</v>
      </c>
      <c r="I233" s="18">
        <v>111811.66</v>
      </c>
      <c r="J233" s="18">
        <v>191555.43</v>
      </c>
      <c r="K233" s="18"/>
      <c r="L233" s="19">
        <f>SUM(F233:K233)</f>
        <v>4920813.8599999994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689823.95</v>
      </c>
      <c r="G234" s="18">
        <v>504299.19</v>
      </c>
      <c r="H234" s="18">
        <v>193803.31</v>
      </c>
      <c r="I234" s="18">
        <v>6576.21</v>
      </c>
      <c r="J234" s="18">
        <v>1340.67</v>
      </c>
      <c r="K234" s="18"/>
      <c r="L234" s="19">
        <f>SUM(F234:K234)</f>
        <v>1395843.3299999998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470450.26</v>
      </c>
      <c r="G235" s="18">
        <v>273711.64</v>
      </c>
      <c r="H235" s="18">
        <v>30568.42</v>
      </c>
      <c r="I235" s="18">
        <v>59448.99</v>
      </c>
      <c r="J235" s="18">
        <v>13694.19</v>
      </c>
      <c r="K235" s="18"/>
      <c r="L235" s="19">
        <f>SUM(F235:K235)</f>
        <v>847873.5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204162</v>
      </c>
      <c r="G236" s="18">
        <v>43912.37</v>
      </c>
      <c r="H236" s="18">
        <v>102419.02</v>
      </c>
      <c r="I236" s="18">
        <v>19275.05</v>
      </c>
      <c r="J236" s="18">
        <v>4190.2700000000004</v>
      </c>
      <c r="K236" s="18">
        <v>10489.4</v>
      </c>
      <c r="L236" s="19">
        <f>SUM(F236:K236)</f>
        <v>384448.11000000004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595092.55000000005</v>
      </c>
      <c r="G238" s="18">
        <v>368062.89</v>
      </c>
      <c r="H238" s="18">
        <v>74509.320000000007</v>
      </c>
      <c r="I238" s="18">
        <v>14650.42</v>
      </c>
      <c r="J238" s="18">
        <v>4249.3100000000004</v>
      </c>
      <c r="K238" s="18"/>
      <c r="L238" s="19">
        <f t="shared" ref="L238:L244" si="4">SUM(F238:K238)</f>
        <v>1056564.49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71343.679999999993</v>
      </c>
      <c r="G239" s="18">
        <v>47781.97</v>
      </c>
      <c r="H239" s="18">
        <v>41163.25</v>
      </c>
      <c r="I239" s="18">
        <v>12831.71</v>
      </c>
      <c r="J239" s="18">
        <v>0</v>
      </c>
      <c r="K239" s="18">
        <v>1441</v>
      </c>
      <c r="L239" s="19">
        <f t="shared" si="4"/>
        <v>174561.61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9175.6299999999992</v>
      </c>
      <c r="G240" s="18">
        <v>701.97</v>
      </c>
      <c r="H240" s="18">
        <v>510589.33</v>
      </c>
      <c r="I240" s="18">
        <v>1693.4</v>
      </c>
      <c r="J240" s="18">
        <v>0</v>
      </c>
      <c r="K240" s="18">
        <v>2329.15</v>
      </c>
      <c r="L240" s="19">
        <f t="shared" si="4"/>
        <v>524489.48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412834.37</v>
      </c>
      <c r="G241" s="18">
        <v>219034.11</v>
      </c>
      <c r="H241" s="18">
        <v>66523.27</v>
      </c>
      <c r="I241" s="18">
        <v>18351.740000000002</v>
      </c>
      <c r="J241" s="18">
        <v>11100.81</v>
      </c>
      <c r="K241" s="18">
        <v>15227.45</v>
      </c>
      <c r="L241" s="19">
        <f t="shared" si="4"/>
        <v>743071.75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501529.03</v>
      </c>
      <c r="G243" s="18">
        <v>309100.48</v>
      </c>
      <c r="H243" s="18">
        <v>534670.18999999994</v>
      </c>
      <c r="I243" s="18">
        <v>391966.12</v>
      </c>
      <c r="J243" s="18">
        <v>31930.720000000001</v>
      </c>
      <c r="K243" s="18"/>
      <c r="L243" s="19">
        <f t="shared" si="4"/>
        <v>1769196.5399999998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113931.51</v>
      </c>
      <c r="G244" s="18">
        <v>59675.49</v>
      </c>
      <c r="H244" s="18">
        <v>63588.72</v>
      </c>
      <c r="I244" s="18">
        <v>34882.89</v>
      </c>
      <c r="J244" s="18">
        <v>64334</v>
      </c>
      <c r="K244" s="18"/>
      <c r="L244" s="19">
        <f t="shared" si="4"/>
        <v>336412.61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>
        <v>1405.12</v>
      </c>
      <c r="I245" s="18"/>
      <c r="J245" s="18"/>
      <c r="K245" s="18"/>
      <c r="L245" s="19">
        <f>SUM(F245:K245)</f>
        <v>1405.12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5570675.7699999996</v>
      </c>
      <c r="G247" s="41">
        <f t="shared" si="5"/>
        <v>3930638.2400000007</v>
      </c>
      <c r="H247" s="41">
        <f t="shared" si="5"/>
        <v>1629995.8</v>
      </c>
      <c r="I247" s="41">
        <f t="shared" si="5"/>
        <v>671488.19000000006</v>
      </c>
      <c r="J247" s="41">
        <f t="shared" si="5"/>
        <v>322395.40000000002</v>
      </c>
      <c r="K247" s="41">
        <f t="shared" si="5"/>
        <v>29487</v>
      </c>
      <c r="L247" s="41">
        <f t="shared" si="5"/>
        <v>12154680.399999997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13597145.069999998</v>
      </c>
      <c r="G257" s="41">
        <f t="shared" si="8"/>
        <v>9428904.7300000004</v>
      </c>
      <c r="H257" s="41">
        <f t="shared" si="8"/>
        <v>4082613.5200000005</v>
      </c>
      <c r="I257" s="41">
        <f t="shared" si="8"/>
        <v>1418417.4300000002</v>
      </c>
      <c r="J257" s="41">
        <f t="shared" si="8"/>
        <v>671728.58000000007</v>
      </c>
      <c r="K257" s="41">
        <f t="shared" si="8"/>
        <v>41059.11</v>
      </c>
      <c r="L257" s="41">
        <f t="shared" si="8"/>
        <v>29239868.439999998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1850000</v>
      </c>
      <c r="L260" s="19">
        <f>SUM(F260:K260)</f>
        <v>1850000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685669.57</v>
      </c>
      <c r="L261" s="19">
        <f>SUM(F261:K261)</f>
        <v>685669.57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178407.59</v>
      </c>
      <c r="L263" s="19">
        <f>SUM(F263:K263)</f>
        <v>178407.59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181429</v>
      </c>
      <c r="L266" s="19">
        <f t="shared" si="9"/>
        <v>181429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2895506.1599999997</v>
      </c>
      <c r="L270" s="41">
        <f t="shared" si="9"/>
        <v>2895506.1599999997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13597145.069999998</v>
      </c>
      <c r="G271" s="42">
        <f t="shared" si="11"/>
        <v>9428904.7300000004</v>
      </c>
      <c r="H271" s="42">
        <f t="shared" si="11"/>
        <v>4082613.5200000005</v>
      </c>
      <c r="I271" s="42">
        <f t="shared" si="11"/>
        <v>1418417.4300000002</v>
      </c>
      <c r="J271" s="42">
        <f t="shared" si="11"/>
        <v>671728.58000000007</v>
      </c>
      <c r="K271" s="42">
        <f t="shared" si="11"/>
        <v>2936565.2699999996</v>
      </c>
      <c r="L271" s="42">
        <f t="shared" si="11"/>
        <v>32135374.599999998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417968.62</v>
      </c>
      <c r="G276" s="18">
        <v>163779.12</v>
      </c>
      <c r="H276" s="18">
        <v>0</v>
      </c>
      <c r="I276" s="18">
        <v>60754.73</v>
      </c>
      <c r="J276" s="18">
        <v>8896.4</v>
      </c>
      <c r="K276" s="18"/>
      <c r="L276" s="19">
        <f>SUM(F276:K276)</f>
        <v>651398.87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24897.48</v>
      </c>
      <c r="G277" s="18">
        <v>18414.28</v>
      </c>
      <c r="H277" s="18">
        <v>47772.7</v>
      </c>
      <c r="I277" s="18">
        <v>2127.04</v>
      </c>
      <c r="J277" s="18">
        <v>7081.66</v>
      </c>
      <c r="K277" s="18"/>
      <c r="L277" s="19">
        <f>SUM(F277:K277)</f>
        <v>100293.15999999999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132976.57</v>
      </c>
      <c r="G279" s="18">
        <v>22373.39</v>
      </c>
      <c r="H279" s="18">
        <v>870</v>
      </c>
      <c r="I279" s="18">
        <v>21601.33</v>
      </c>
      <c r="J279" s="18"/>
      <c r="K279" s="18"/>
      <c r="L279" s="19">
        <f>SUM(F279:K279)</f>
        <v>177821.29000000004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48418.76</v>
      </c>
      <c r="G281" s="18">
        <v>12686.81</v>
      </c>
      <c r="H281" s="18">
        <v>99936.79</v>
      </c>
      <c r="I281" s="18"/>
      <c r="J281" s="18"/>
      <c r="K281" s="18"/>
      <c r="L281" s="19">
        <f t="shared" ref="L281:L287" si="12">SUM(F281:K281)</f>
        <v>161042.35999999999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12580</v>
      </c>
      <c r="G282" s="18">
        <v>2542.41</v>
      </c>
      <c r="H282" s="18">
        <v>103311.41</v>
      </c>
      <c r="I282" s="18">
        <v>2106.2600000000002</v>
      </c>
      <c r="J282" s="18">
        <v>879</v>
      </c>
      <c r="K282" s="18"/>
      <c r="L282" s="19">
        <f t="shared" si="12"/>
        <v>121419.08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15403.56</v>
      </c>
      <c r="I287" s="18"/>
      <c r="J287" s="18"/>
      <c r="K287" s="18"/>
      <c r="L287" s="19">
        <f t="shared" si="12"/>
        <v>15403.56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>
        <v>13700</v>
      </c>
      <c r="I288" s="18"/>
      <c r="J288" s="18"/>
      <c r="K288" s="18"/>
      <c r="L288" s="19">
        <f>SUM(F288:K288)</f>
        <v>13700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636841.42999999993</v>
      </c>
      <c r="G290" s="42">
        <f t="shared" si="13"/>
        <v>219796.00999999998</v>
      </c>
      <c r="H290" s="42">
        <f t="shared" si="13"/>
        <v>280994.46000000002</v>
      </c>
      <c r="I290" s="42">
        <f t="shared" si="13"/>
        <v>86589.36</v>
      </c>
      <c r="J290" s="42">
        <f t="shared" si="13"/>
        <v>16857.059999999998</v>
      </c>
      <c r="K290" s="42">
        <f t="shared" si="13"/>
        <v>0</v>
      </c>
      <c r="L290" s="41">
        <f t="shared" si="13"/>
        <v>1241078.3200000003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>
        <v>706.5</v>
      </c>
      <c r="I296" s="18">
        <v>795.11</v>
      </c>
      <c r="J296" s="18">
        <v>2647.19</v>
      </c>
      <c r="K296" s="18"/>
      <c r="L296" s="19">
        <f>SUM(F296:K296)</f>
        <v>4148.8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11416.41</v>
      </c>
      <c r="G300" s="18">
        <v>4382.26</v>
      </c>
      <c r="H300" s="18">
        <v>36973.370000000003</v>
      </c>
      <c r="I300" s="18"/>
      <c r="J300" s="18"/>
      <c r="K300" s="18"/>
      <c r="L300" s="19">
        <f t="shared" ref="L300:L306" si="14">SUM(F300:K300)</f>
        <v>52772.04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4880.22</v>
      </c>
      <c r="G301" s="18">
        <v>1656.95</v>
      </c>
      <c r="H301" s="18">
        <v>21492.799999999999</v>
      </c>
      <c r="I301" s="18"/>
      <c r="J301" s="18"/>
      <c r="K301" s="18"/>
      <c r="L301" s="19">
        <f t="shared" si="14"/>
        <v>28029.97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16296.630000000001</v>
      </c>
      <c r="G309" s="42">
        <f t="shared" si="15"/>
        <v>6039.21</v>
      </c>
      <c r="H309" s="42">
        <f t="shared" si="15"/>
        <v>59172.67</v>
      </c>
      <c r="I309" s="42">
        <f t="shared" si="15"/>
        <v>795.11</v>
      </c>
      <c r="J309" s="42">
        <f t="shared" si="15"/>
        <v>2647.19</v>
      </c>
      <c r="K309" s="42">
        <f t="shared" si="15"/>
        <v>0</v>
      </c>
      <c r="L309" s="41">
        <f t="shared" si="15"/>
        <v>84950.81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30400.32</v>
      </c>
      <c r="G314" s="18">
        <v>32626.92</v>
      </c>
      <c r="H314" s="18"/>
      <c r="I314" s="18"/>
      <c r="J314" s="18"/>
      <c r="K314" s="18"/>
      <c r="L314" s="19">
        <f>SUM(F314:K314)</f>
        <v>63027.24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>
        <v>1903.5</v>
      </c>
      <c r="I315" s="18">
        <v>2142.23</v>
      </c>
      <c r="J315" s="18">
        <v>7132.24</v>
      </c>
      <c r="K315" s="18"/>
      <c r="L315" s="19">
        <f>SUM(F315:K315)</f>
        <v>11177.97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10183.27</v>
      </c>
      <c r="G316" s="18">
        <v>4135.5</v>
      </c>
      <c r="H316" s="18">
        <v>10070.19</v>
      </c>
      <c r="I316" s="18">
        <v>11776.48</v>
      </c>
      <c r="J316" s="18">
        <v>65530.35</v>
      </c>
      <c r="K316" s="18"/>
      <c r="L316" s="19">
        <f>SUM(F316:K316)</f>
        <v>101695.79000000001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30758.87</v>
      </c>
      <c r="G319" s="18">
        <v>11806.98</v>
      </c>
      <c r="H319" s="18">
        <v>65858.62</v>
      </c>
      <c r="I319" s="18"/>
      <c r="J319" s="18"/>
      <c r="K319" s="18"/>
      <c r="L319" s="19">
        <f t="shared" ref="L319:L325" si="16">SUM(F319:K319)</f>
        <v>108424.47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8338</v>
      </c>
      <c r="G320" s="18">
        <v>2061.58</v>
      </c>
      <c r="H320" s="18">
        <v>51767.68</v>
      </c>
      <c r="I320" s="18"/>
      <c r="J320" s="18"/>
      <c r="K320" s="18">
        <v>2196.63</v>
      </c>
      <c r="L320" s="19">
        <f t="shared" si="16"/>
        <v>64363.89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>
        <v>2755.76</v>
      </c>
      <c r="G325" s="18">
        <v>748.39</v>
      </c>
      <c r="H325" s="18"/>
      <c r="I325" s="18"/>
      <c r="J325" s="18"/>
      <c r="K325" s="18"/>
      <c r="L325" s="19">
        <f t="shared" si="16"/>
        <v>3504.15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82436.219999999987</v>
      </c>
      <c r="G328" s="42">
        <f t="shared" si="17"/>
        <v>51379.369999999995</v>
      </c>
      <c r="H328" s="42">
        <f t="shared" si="17"/>
        <v>129599.98999999999</v>
      </c>
      <c r="I328" s="42">
        <f t="shared" si="17"/>
        <v>13918.71</v>
      </c>
      <c r="J328" s="42">
        <f t="shared" si="17"/>
        <v>72662.59</v>
      </c>
      <c r="K328" s="42">
        <f t="shared" si="17"/>
        <v>2196.63</v>
      </c>
      <c r="L328" s="41">
        <f t="shared" si="17"/>
        <v>352193.51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16500</v>
      </c>
      <c r="G333" s="18">
        <v>2984.24</v>
      </c>
      <c r="H333" s="18">
        <v>8226.17</v>
      </c>
      <c r="I333" s="18">
        <v>15787.55</v>
      </c>
      <c r="J333" s="18">
        <v>3510.95</v>
      </c>
      <c r="K333" s="18"/>
      <c r="L333" s="19">
        <f t="shared" si="18"/>
        <v>47008.909999999989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16500</v>
      </c>
      <c r="G337" s="41">
        <f t="shared" si="19"/>
        <v>2984.24</v>
      </c>
      <c r="H337" s="41">
        <f t="shared" si="19"/>
        <v>8226.17</v>
      </c>
      <c r="I337" s="41">
        <f t="shared" si="19"/>
        <v>15787.55</v>
      </c>
      <c r="J337" s="41">
        <f t="shared" si="19"/>
        <v>3510.95</v>
      </c>
      <c r="K337" s="41">
        <f t="shared" si="19"/>
        <v>0</v>
      </c>
      <c r="L337" s="41">
        <f t="shared" si="18"/>
        <v>47008.909999999989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752074.27999999991</v>
      </c>
      <c r="G338" s="41">
        <f t="shared" si="20"/>
        <v>280198.82999999996</v>
      </c>
      <c r="H338" s="41">
        <f t="shared" si="20"/>
        <v>477993.29</v>
      </c>
      <c r="I338" s="41">
        <f t="shared" si="20"/>
        <v>117090.73</v>
      </c>
      <c r="J338" s="41">
        <f t="shared" si="20"/>
        <v>95677.79</v>
      </c>
      <c r="K338" s="41">
        <f t="shared" si="20"/>
        <v>2196.63</v>
      </c>
      <c r="L338" s="41">
        <f t="shared" si="20"/>
        <v>1725231.5500000003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752074.27999999991</v>
      </c>
      <c r="G352" s="41">
        <f>G338</f>
        <v>280198.82999999996</v>
      </c>
      <c r="H352" s="41">
        <f>H338</f>
        <v>477993.29</v>
      </c>
      <c r="I352" s="41">
        <f>I338</f>
        <v>117090.73</v>
      </c>
      <c r="J352" s="41">
        <f>J338</f>
        <v>95677.79</v>
      </c>
      <c r="K352" s="47">
        <f>K338+K351</f>
        <v>2196.63</v>
      </c>
      <c r="L352" s="41">
        <f>L338+L351</f>
        <v>1725231.5500000003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123304.49</v>
      </c>
      <c r="G358" s="18">
        <v>102150.46</v>
      </c>
      <c r="H358" s="18">
        <v>15154.23</v>
      </c>
      <c r="I358" s="18">
        <v>108959.09</v>
      </c>
      <c r="J358" s="18">
        <v>51.51</v>
      </c>
      <c r="K358" s="18"/>
      <c r="L358" s="13">
        <f>SUM(F358:K358)</f>
        <v>349619.78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46092.39</v>
      </c>
      <c r="G359" s="18">
        <v>38184.82</v>
      </c>
      <c r="H359" s="18">
        <v>5664.79</v>
      </c>
      <c r="I359" s="18">
        <v>40729.97</v>
      </c>
      <c r="J359" s="18">
        <v>19.25</v>
      </c>
      <c r="K359" s="18"/>
      <c r="L359" s="19">
        <f>SUM(F359:K359)</f>
        <v>130691.21999999999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124185.24</v>
      </c>
      <c r="G360" s="18">
        <v>102880.11</v>
      </c>
      <c r="H360" s="18">
        <v>15262.47</v>
      </c>
      <c r="I360" s="18">
        <v>109737.44</v>
      </c>
      <c r="J360" s="18">
        <v>51.88</v>
      </c>
      <c r="K360" s="18"/>
      <c r="L360" s="19">
        <f>SUM(F360:K360)</f>
        <v>352117.14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293582.12</v>
      </c>
      <c r="G362" s="47">
        <f t="shared" si="22"/>
        <v>243215.39</v>
      </c>
      <c r="H362" s="47">
        <f t="shared" si="22"/>
        <v>36081.49</v>
      </c>
      <c r="I362" s="47">
        <f t="shared" si="22"/>
        <v>259426.5</v>
      </c>
      <c r="J362" s="47">
        <f t="shared" si="22"/>
        <v>122.63999999999999</v>
      </c>
      <c r="K362" s="47">
        <f t="shared" si="22"/>
        <v>0</v>
      </c>
      <c r="L362" s="47">
        <f t="shared" si="22"/>
        <v>832428.14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99783.02</v>
      </c>
      <c r="G367" s="18">
        <v>37299.839999999997</v>
      </c>
      <c r="H367" s="18">
        <v>100495.76</v>
      </c>
      <c r="I367" s="56">
        <f>SUM(F367:H367)</f>
        <v>237578.62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9176.07</v>
      </c>
      <c r="G368" s="63">
        <v>3430.12</v>
      </c>
      <c r="H368" s="63">
        <v>9241.69</v>
      </c>
      <c r="I368" s="56">
        <f>SUM(F368:H368)</f>
        <v>21847.879999999997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108959.09</v>
      </c>
      <c r="G369" s="47">
        <f>SUM(G367:G368)</f>
        <v>40729.96</v>
      </c>
      <c r="H369" s="47">
        <f>SUM(H367:H368)</f>
        <v>109737.45</v>
      </c>
      <c r="I369" s="47">
        <f>SUM(I367:I368)</f>
        <v>259426.5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>
        <v>1950835</v>
      </c>
      <c r="I379" s="18"/>
      <c r="J379" s="18"/>
      <c r="K379" s="18"/>
      <c r="L379" s="13">
        <f t="shared" si="23"/>
        <v>1950835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1950835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1950835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>
        <v>131.43</v>
      </c>
      <c r="I390" s="18"/>
      <c r="J390" s="24" t="s">
        <v>288</v>
      </c>
      <c r="K390" s="24" t="s">
        <v>288</v>
      </c>
      <c r="L390" s="56">
        <f t="shared" si="25"/>
        <v>131.43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>
        <v>85.58</v>
      </c>
      <c r="I392" s="18"/>
      <c r="J392" s="24" t="s">
        <v>288</v>
      </c>
      <c r="K392" s="24" t="s">
        <v>288</v>
      </c>
      <c r="L392" s="56">
        <f t="shared" si="25"/>
        <v>85.58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217.01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217.01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181429</v>
      </c>
      <c r="H396" s="18">
        <v>2520.9299999999998</v>
      </c>
      <c r="I396" s="18"/>
      <c r="J396" s="24" t="s">
        <v>288</v>
      </c>
      <c r="K396" s="24" t="s">
        <v>288</v>
      </c>
      <c r="L396" s="56">
        <f t="shared" si="26"/>
        <v>183949.93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1116.2</v>
      </c>
      <c r="I397" s="18"/>
      <c r="J397" s="24" t="s">
        <v>288</v>
      </c>
      <c r="K397" s="24" t="s">
        <v>288</v>
      </c>
      <c r="L397" s="56">
        <f t="shared" si="26"/>
        <v>1116.2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181429</v>
      </c>
      <c r="H401" s="47">
        <f>SUM(H395:H400)</f>
        <v>3637.13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185066.13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>
        <v>90.18</v>
      </c>
      <c r="I403" s="18"/>
      <c r="J403" s="24" t="s">
        <v>288</v>
      </c>
      <c r="K403" s="24" t="s">
        <v>288</v>
      </c>
      <c r="L403" s="56">
        <f>SUM(F403:K403)</f>
        <v>90.18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90.18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90.18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181429</v>
      </c>
      <c r="H408" s="47">
        <f>H393+H401+H407</f>
        <v>3944.32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185373.32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>
        <v>61741.52</v>
      </c>
      <c r="L422" s="56">
        <f t="shared" si="29"/>
        <v>61741.52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61741.52</v>
      </c>
      <c r="L427" s="47">
        <f t="shared" si="30"/>
        <v>61741.52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61741.52</v>
      </c>
      <c r="L434" s="47">
        <f t="shared" si="32"/>
        <v>61741.52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78400.89</v>
      </c>
      <c r="G439" s="18">
        <f>1430560.86+61741.52</f>
        <v>1492302.3800000001</v>
      </c>
      <c r="H439" s="18">
        <v>32580.62</v>
      </c>
      <c r="I439" s="56">
        <f t="shared" ref="I439:I445" si="33">SUM(F439:H439)</f>
        <v>1603283.8900000001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78400.89</v>
      </c>
      <c r="G446" s="13">
        <f>SUM(G439:G445)</f>
        <v>1492302.3800000001</v>
      </c>
      <c r="H446" s="13">
        <f>SUM(H439:H445)</f>
        <v>32580.62</v>
      </c>
      <c r="I446" s="13">
        <f>SUM(I439:I445)</f>
        <v>1603283.8900000001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>
        <v>61741.52</v>
      </c>
      <c r="H448" s="18"/>
      <c r="I448" s="56">
        <f>SUM(F448:H448)</f>
        <v>61741.52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61741.52</v>
      </c>
      <c r="H452" s="72">
        <f>SUM(H448:H451)</f>
        <v>0</v>
      </c>
      <c r="I452" s="72">
        <f>SUM(I448:I451)</f>
        <v>61741.52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78400.89</v>
      </c>
      <c r="G459" s="18">
        <v>1430560.86</v>
      </c>
      <c r="H459" s="18">
        <v>32580.62</v>
      </c>
      <c r="I459" s="56">
        <f t="shared" si="34"/>
        <v>1541542.37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78400.89</v>
      </c>
      <c r="G460" s="83">
        <f>SUM(G454:G459)</f>
        <v>1430560.86</v>
      </c>
      <c r="H460" s="83">
        <f>SUM(H454:H459)</f>
        <v>32580.62</v>
      </c>
      <c r="I460" s="83">
        <f>SUM(I454:I459)</f>
        <v>1541542.37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78400.89</v>
      </c>
      <c r="G461" s="42">
        <f>G452+G460</f>
        <v>1492302.3800000001</v>
      </c>
      <c r="H461" s="42">
        <f>H452+H460</f>
        <v>32580.62</v>
      </c>
      <c r="I461" s="42">
        <f>I452+I460</f>
        <v>1603283.8900000001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2092429.62</v>
      </c>
      <c r="G465" s="18">
        <v>37080.78</v>
      </c>
      <c r="H465" s="18">
        <v>143599.54999999999</v>
      </c>
      <c r="I465" s="18">
        <v>0</v>
      </c>
      <c r="J465" s="18">
        <v>1417910.57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31834298.57</v>
      </c>
      <c r="G468" s="18">
        <v>832428.14</v>
      </c>
      <c r="H468" s="18">
        <v>1758924.61</v>
      </c>
      <c r="I468" s="18">
        <v>2000000</v>
      </c>
      <c r="J468" s="18">
        <v>185373.32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31834298.57</v>
      </c>
      <c r="G470" s="53">
        <f>SUM(G468:G469)</f>
        <v>832428.14</v>
      </c>
      <c r="H470" s="53">
        <f>SUM(H468:H469)</f>
        <v>1758924.61</v>
      </c>
      <c r="I470" s="53">
        <f>SUM(I468:I469)</f>
        <v>2000000</v>
      </c>
      <c r="J470" s="53">
        <f>SUM(J468:J469)</f>
        <v>185373.32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32135374.600000001</v>
      </c>
      <c r="G472" s="18">
        <v>832428.14</v>
      </c>
      <c r="H472" s="18">
        <v>1725231.55</v>
      </c>
      <c r="I472" s="18">
        <v>1950835</v>
      </c>
      <c r="J472" s="18">
        <v>61741.52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>
        <v>1408.99</v>
      </c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32135374.600000001</v>
      </c>
      <c r="G474" s="53">
        <f>SUM(G472:G473)</f>
        <v>833837.13</v>
      </c>
      <c r="H474" s="53">
        <f>SUM(H472:H473)</f>
        <v>1725231.55</v>
      </c>
      <c r="I474" s="53">
        <f>SUM(I472:I473)</f>
        <v>1950835</v>
      </c>
      <c r="J474" s="53">
        <f>SUM(J472:J473)</f>
        <v>61741.52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1791353.5899999961</v>
      </c>
      <c r="G476" s="53">
        <f>(G465+G470)- G474</f>
        <v>35671.790000000037</v>
      </c>
      <c r="H476" s="53">
        <f>(H465+H470)- H474</f>
        <v>177292.6100000001</v>
      </c>
      <c r="I476" s="53">
        <f>(I465+I470)- I474</f>
        <v>49165</v>
      </c>
      <c r="J476" s="53">
        <f>(J465+J470)- J474</f>
        <v>1541542.37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 t="s">
        <v>914</v>
      </c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912</v>
      </c>
      <c r="G492" s="155" t="s">
        <v>915</v>
      </c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42120000</v>
      </c>
      <c r="G493" s="18">
        <v>2000000</v>
      </c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</v>
      </c>
      <c r="G494" s="18">
        <v>2.5</v>
      </c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14760000</v>
      </c>
      <c r="G495" s="18">
        <v>0</v>
      </c>
      <c r="H495" s="18"/>
      <c r="I495" s="18"/>
      <c r="J495" s="18"/>
      <c r="K495" s="53">
        <f>SUM(F495:J495)</f>
        <v>14760000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>
        <v>1837000</v>
      </c>
      <c r="H496" s="18"/>
      <c r="I496" s="18"/>
      <c r="J496" s="18"/>
      <c r="K496" s="53">
        <f t="shared" ref="K496:K503" si="35">SUM(F496:J496)</f>
        <v>1837000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1850000</v>
      </c>
      <c r="G497" s="18">
        <v>0</v>
      </c>
      <c r="H497" s="18"/>
      <c r="I497" s="18"/>
      <c r="J497" s="18"/>
      <c r="K497" s="53">
        <f t="shared" si="35"/>
        <v>1850000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12910000</v>
      </c>
      <c r="G498" s="204">
        <v>1837000</v>
      </c>
      <c r="H498" s="204"/>
      <c r="I498" s="204"/>
      <c r="J498" s="204"/>
      <c r="K498" s="205">
        <f t="shared" si="35"/>
        <v>14747000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2075377.86</v>
      </c>
      <c r="G499" s="18">
        <v>625838.52</v>
      </c>
      <c r="H499" s="18"/>
      <c r="I499" s="18"/>
      <c r="J499" s="18"/>
      <c r="K499" s="53">
        <f t="shared" si="35"/>
        <v>2701216.38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14985377.859999999</v>
      </c>
      <c r="G500" s="42">
        <f>SUM(G498:G499)</f>
        <v>2462838.52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17448216.379999999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1850000</v>
      </c>
      <c r="G501" s="204">
        <v>87700</v>
      </c>
      <c r="H501" s="204"/>
      <c r="I501" s="204"/>
      <c r="J501" s="204"/>
      <c r="K501" s="205">
        <f t="shared" si="35"/>
        <v>1937700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569725</v>
      </c>
      <c r="G502" s="18">
        <v>69364</v>
      </c>
      <c r="H502" s="18"/>
      <c r="I502" s="18"/>
      <c r="J502" s="18"/>
      <c r="K502" s="53">
        <f t="shared" si="35"/>
        <v>639089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2419725</v>
      </c>
      <c r="G503" s="42">
        <f>SUM(G501:G502)</f>
        <v>157064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2576789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1401984.45</v>
      </c>
      <c r="G521" s="18">
        <v>989217.55</v>
      </c>
      <c r="H521" s="18">
        <v>681700.37</v>
      </c>
      <c r="I521" s="18">
        <v>3877.9</v>
      </c>
      <c r="J521" s="18">
        <v>7513.98</v>
      </c>
      <c r="K521" s="18"/>
      <c r="L521" s="88">
        <f>SUM(F521:K521)</f>
        <v>3084294.25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382628.5</v>
      </c>
      <c r="G522" s="18">
        <v>262402.98</v>
      </c>
      <c r="H522" s="18">
        <v>81706.16</v>
      </c>
      <c r="I522" s="18">
        <v>6883.39</v>
      </c>
      <c r="J522" s="18">
        <v>4436.1099999999997</v>
      </c>
      <c r="K522" s="18"/>
      <c r="L522" s="88">
        <f>SUM(F522:K522)</f>
        <v>738057.14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689823.95</v>
      </c>
      <c r="G523" s="18">
        <v>504299.19</v>
      </c>
      <c r="H523" s="18">
        <v>195706.81</v>
      </c>
      <c r="I523" s="18">
        <v>8718.44</v>
      </c>
      <c r="J523" s="18">
        <v>8472.91</v>
      </c>
      <c r="K523" s="18"/>
      <c r="L523" s="88">
        <f>SUM(F523:K523)</f>
        <v>1407021.2999999998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2474436.9</v>
      </c>
      <c r="G524" s="108">
        <f t="shared" ref="G524:L524" si="36">SUM(G521:G523)</f>
        <v>1755919.72</v>
      </c>
      <c r="H524" s="108">
        <f t="shared" si="36"/>
        <v>959113.34000000008</v>
      </c>
      <c r="I524" s="108">
        <f t="shared" si="36"/>
        <v>19479.730000000003</v>
      </c>
      <c r="J524" s="108">
        <f t="shared" si="36"/>
        <v>20423</v>
      </c>
      <c r="K524" s="108">
        <f t="shared" si="36"/>
        <v>0</v>
      </c>
      <c r="L524" s="89">
        <f t="shared" si="36"/>
        <v>5229372.6899999995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227527.99</v>
      </c>
      <c r="G526" s="18">
        <v>158703.26</v>
      </c>
      <c r="H526" s="18">
        <v>160084.31</v>
      </c>
      <c r="I526" s="18">
        <v>740.86</v>
      </c>
      <c r="J526" s="18"/>
      <c r="K526" s="18"/>
      <c r="L526" s="88">
        <f>SUM(F526:K526)</f>
        <v>547056.42000000004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51230.1</v>
      </c>
      <c r="G527" s="18">
        <v>23346.84</v>
      </c>
      <c r="H527" s="18">
        <v>64052.58</v>
      </c>
      <c r="I527" s="18">
        <v>0</v>
      </c>
      <c r="J527" s="18"/>
      <c r="K527" s="18"/>
      <c r="L527" s="88">
        <f>SUM(F527:K527)</f>
        <v>138629.52000000002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185230.76</v>
      </c>
      <c r="G528" s="18">
        <v>103100.93</v>
      </c>
      <c r="H528" s="18">
        <v>3351.13</v>
      </c>
      <c r="I528" s="18">
        <v>780.02</v>
      </c>
      <c r="J528" s="18"/>
      <c r="K528" s="18"/>
      <c r="L528" s="88">
        <f>SUM(F528:K528)</f>
        <v>292462.84000000003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463988.85</v>
      </c>
      <c r="G529" s="89">
        <f t="shared" ref="G529:L529" si="37">SUM(G526:G528)</f>
        <v>285151.03000000003</v>
      </c>
      <c r="H529" s="89">
        <f t="shared" si="37"/>
        <v>227488.02000000002</v>
      </c>
      <c r="I529" s="89">
        <f t="shared" si="37"/>
        <v>1520.88</v>
      </c>
      <c r="J529" s="89">
        <f t="shared" si="37"/>
        <v>0</v>
      </c>
      <c r="K529" s="89">
        <f t="shared" si="37"/>
        <v>0</v>
      </c>
      <c r="L529" s="89">
        <f t="shared" si="37"/>
        <v>978148.78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68844.399999999994</v>
      </c>
      <c r="I531" s="18"/>
      <c r="J531" s="18"/>
      <c r="K531" s="18"/>
      <c r="L531" s="88">
        <f>SUM(F531:K531)</f>
        <v>68844.399999999994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>
        <v>25734.69</v>
      </c>
      <c r="I532" s="18"/>
      <c r="J532" s="18"/>
      <c r="K532" s="18"/>
      <c r="L532" s="88">
        <f>SUM(F532:K532)</f>
        <v>25734.69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v>69336.14</v>
      </c>
      <c r="I533" s="18"/>
      <c r="J533" s="18"/>
      <c r="K533" s="18"/>
      <c r="L533" s="88">
        <f>SUM(F533:K533)</f>
        <v>69336.14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163915.22999999998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163915.22999999998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12080.7</v>
      </c>
      <c r="I536" s="18"/>
      <c r="J536" s="18"/>
      <c r="K536" s="18"/>
      <c r="L536" s="88">
        <f>SUM(F536:K536)</f>
        <v>12080.7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0</v>
      </c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0</v>
      </c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12080.7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12080.7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40219.919999999998</v>
      </c>
      <c r="G541" s="18">
        <v>15276.15</v>
      </c>
      <c r="H541" s="18">
        <v>17199.57</v>
      </c>
      <c r="I541" s="18"/>
      <c r="J541" s="18"/>
      <c r="K541" s="18"/>
      <c r="L541" s="88">
        <f>SUM(F541:K541)</f>
        <v>72695.64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8043.98</v>
      </c>
      <c r="G542" s="18">
        <v>3055.23</v>
      </c>
      <c r="H542" s="18">
        <v>32396.799999999999</v>
      </c>
      <c r="I542" s="18"/>
      <c r="J542" s="18"/>
      <c r="K542" s="18"/>
      <c r="L542" s="88">
        <f>SUM(F542:K542)</f>
        <v>43496.009999999995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5362.66</v>
      </c>
      <c r="G543" s="18">
        <v>2036.86</v>
      </c>
      <c r="H543" s="18">
        <v>43102.98</v>
      </c>
      <c r="I543" s="18"/>
      <c r="J543" s="18"/>
      <c r="K543" s="18"/>
      <c r="L543" s="88">
        <f>SUM(F543:K543)</f>
        <v>50502.5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53626.559999999998</v>
      </c>
      <c r="G544" s="193">
        <f t="shared" ref="G544:L544" si="40">SUM(G541:G543)</f>
        <v>20368.240000000002</v>
      </c>
      <c r="H544" s="193">
        <f t="shared" si="40"/>
        <v>92699.35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166694.15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2992052.31</v>
      </c>
      <c r="G545" s="89">
        <f t="shared" ref="G545:L545" si="41">G524+G529+G534+G539+G544</f>
        <v>2061438.99</v>
      </c>
      <c r="H545" s="89">
        <f t="shared" si="41"/>
        <v>1455296.6400000001</v>
      </c>
      <c r="I545" s="89">
        <f t="shared" si="41"/>
        <v>21000.610000000004</v>
      </c>
      <c r="J545" s="89">
        <f t="shared" si="41"/>
        <v>20423</v>
      </c>
      <c r="K545" s="89">
        <f t="shared" si="41"/>
        <v>0</v>
      </c>
      <c r="L545" s="89">
        <f t="shared" si="41"/>
        <v>6550211.5499999998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3084294.25</v>
      </c>
      <c r="G549" s="87">
        <f>L526</f>
        <v>547056.42000000004</v>
      </c>
      <c r="H549" s="87">
        <f>L531</f>
        <v>68844.399999999994</v>
      </c>
      <c r="I549" s="87">
        <f>L536</f>
        <v>12080.7</v>
      </c>
      <c r="J549" s="87">
        <f>L541</f>
        <v>72695.64</v>
      </c>
      <c r="K549" s="87">
        <f>SUM(F549:J549)</f>
        <v>3784971.41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738057.14</v>
      </c>
      <c r="G550" s="87">
        <f>L527</f>
        <v>138629.52000000002</v>
      </c>
      <c r="H550" s="87">
        <f>L532</f>
        <v>25734.69</v>
      </c>
      <c r="I550" s="87">
        <f>L537</f>
        <v>0</v>
      </c>
      <c r="J550" s="87">
        <f>L542</f>
        <v>43496.009999999995</v>
      </c>
      <c r="K550" s="87">
        <f>SUM(F550:J550)</f>
        <v>945917.36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1407021.2999999998</v>
      </c>
      <c r="G551" s="87">
        <f>L528</f>
        <v>292462.84000000003</v>
      </c>
      <c r="H551" s="87">
        <f>L533</f>
        <v>69336.14</v>
      </c>
      <c r="I551" s="87">
        <f>L538</f>
        <v>0</v>
      </c>
      <c r="J551" s="87">
        <f>L543</f>
        <v>50502.5</v>
      </c>
      <c r="K551" s="87">
        <f>SUM(F551:J551)</f>
        <v>1819322.7799999998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5229372.6899999995</v>
      </c>
      <c r="G552" s="89">
        <f t="shared" si="42"/>
        <v>978148.78</v>
      </c>
      <c r="H552" s="89">
        <f t="shared" si="42"/>
        <v>163915.22999999998</v>
      </c>
      <c r="I552" s="89">
        <f t="shared" si="42"/>
        <v>12080.7</v>
      </c>
      <c r="J552" s="89">
        <f t="shared" si="42"/>
        <v>166694.15</v>
      </c>
      <c r="K552" s="89">
        <f t="shared" si="42"/>
        <v>6550211.5500000007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5000</v>
      </c>
      <c r="G579" s="18"/>
      <c r="H579" s="18"/>
      <c r="I579" s="87">
        <f t="shared" si="47"/>
        <v>5000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221513.51</v>
      </c>
      <c r="G582" s="18">
        <v>80934</v>
      </c>
      <c r="H582" s="18">
        <v>92910.79</v>
      </c>
      <c r="I582" s="87">
        <f t="shared" si="47"/>
        <v>395358.3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v>226846.58</v>
      </c>
      <c r="G583" s="18">
        <v>0</v>
      </c>
      <c r="H583" s="18">
        <v>94228.66</v>
      </c>
      <c r="I583" s="87">
        <f t="shared" si="47"/>
        <v>321075.24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232817.19</v>
      </c>
      <c r="I591" s="18">
        <v>86535.49</v>
      </c>
      <c r="J591" s="18">
        <v>239438.99</v>
      </c>
      <c r="K591" s="104">
        <f t="shared" ref="K591:K597" si="48">SUM(H591:J591)</f>
        <v>558791.66999999993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72695.64</v>
      </c>
      <c r="I592" s="18">
        <v>43496.01</v>
      </c>
      <c r="J592" s="18">
        <v>50502.46</v>
      </c>
      <c r="K592" s="104">
        <f t="shared" si="48"/>
        <v>166694.10999999999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11416.04</v>
      </c>
      <c r="J594" s="18">
        <v>41383.43</v>
      </c>
      <c r="K594" s="104">
        <f t="shared" si="48"/>
        <v>52799.47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21187.16</v>
      </c>
      <c r="I595" s="18">
        <v>3974.01</v>
      </c>
      <c r="J595" s="18">
        <v>5087.7299999999996</v>
      </c>
      <c r="K595" s="104">
        <f t="shared" si="48"/>
        <v>30248.899999999998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19097.38</v>
      </c>
      <c r="I597" s="18"/>
      <c r="J597" s="18"/>
      <c r="K597" s="104">
        <f t="shared" si="48"/>
        <v>19097.38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345797.37</v>
      </c>
      <c r="I598" s="108">
        <f>SUM(I591:I597)</f>
        <v>145421.55000000002</v>
      </c>
      <c r="J598" s="108">
        <f>SUM(J591:J597)</f>
        <v>336412.61</v>
      </c>
      <c r="K598" s="108">
        <f>SUM(K591:K597)</f>
        <v>827631.52999999991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253209.97</v>
      </c>
      <c r="I604" s="18">
        <v>115627.46</v>
      </c>
      <c r="J604" s="18">
        <f>395057.99+3510.95</f>
        <v>398568.94</v>
      </c>
      <c r="K604" s="104">
        <f>SUM(H604:J604)</f>
        <v>767406.37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253209.97</v>
      </c>
      <c r="I605" s="108">
        <f>SUM(I602:I604)</f>
        <v>115627.46</v>
      </c>
      <c r="J605" s="108">
        <f>SUM(J602:J604)</f>
        <v>398568.94</v>
      </c>
      <c r="K605" s="108">
        <f>SUM(K602:K604)</f>
        <v>767406.37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2520</v>
      </c>
      <c r="G612" s="18">
        <v>609.29999999999995</v>
      </c>
      <c r="H612" s="18"/>
      <c r="I612" s="18"/>
      <c r="J612" s="18"/>
      <c r="K612" s="18"/>
      <c r="L612" s="88">
        <f>SUM(F612:K612)</f>
        <v>3129.3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7800</v>
      </c>
      <c r="G613" s="18">
        <v>1614.99</v>
      </c>
      <c r="H613" s="18"/>
      <c r="I613" s="18"/>
      <c r="J613" s="18"/>
      <c r="K613" s="18"/>
      <c r="L613" s="88">
        <f>SUM(F613:K613)</f>
        <v>9414.99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10320</v>
      </c>
      <c r="G614" s="108">
        <f t="shared" si="49"/>
        <v>2224.29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12544.29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2127170.52</v>
      </c>
      <c r="H617" s="109">
        <f>SUM(F52)</f>
        <v>2127170.52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570618.44999999995</v>
      </c>
      <c r="H618" s="109">
        <f>SUM(G52)</f>
        <v>570618.44999999995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472323.72</v>
      </c>
      <c r="H619" s="109">
        <f>SUM(H52)</f>
        <v>472323.72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49165</v>
      </c>
      <c r="H620" s="109">
        <f>SUM(I52)</f>
        <v>49165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1603283.8900000001</v>
      </c>
      <c r="H621" s="109">
        <f>SUM(J52)</f>
        <v>1603283.8900000001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1791353.59</v>
      </c>
      <c r="H622" s="109">
        <f>F476</f>
        <v>1791353.5899999961</v>
      </c>
      <c r="I622" s="121" t="s">
        <v>101</v>
      </c>
      <c r="J622" s="109">
        <f t="shared" ref="J622:J655" si="50">G622-H622</f>
        <v>3.9581209421157837E-9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35671.79</v>
      </c>
      <c r="H623" s="109">
        <f>G476</f>
        <v>35671.790000000037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177292.61</v>
      </c>
      <c r="H624" s="109">
        <f>H476</f>
        <v>177292.6100000001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49165</v>
      </c>
      <c r="H625" s="109">
        <f>I476</f>
        <v>49165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1541542.37</v>
      </c>
      <c r="H626" s="109">
        <f>J476</f>
        <v>1541542.37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31834298.57</v>
      </c>
      <c r="H627" s="104">
        <f>SUM(F468)</f>
        <v>31834298.57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832428.14</v>
      </c>
      <c r="H628" s="104">
        <f>SUM(G468)</f>
        <v>832428.14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1758924.6099999999</v>
      </c>
      <c r="H629" s="104">
        <f>SUM(H468)</f>
        <v>1758924.61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2000000</v>
      </c>
      <c r="H630" s="104">
        <f>SUM(I468)</f>
        <v>2000000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185373.32</v>
      </c>
      <c r="H631" s="104">
        <f>SUM(J468)</f>
        <v>185373.32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32135374.599999998</v>
      </c>
      <c r="H632" s="104">
        <f>SUM(F472)</f>
        <v>32135374.600000001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1725231.5500000003</v>
      </c>
      <c r="H633" s="104">
        <f>SUM(H472)</f>
        <v>1725231.55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259426.5</v>
      </c>
      <c r="H634" s="104">
        <f>I369</f>
        <v>259426.5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832428.14</v>
      </c>
      <c r="H635" s="104">
        <f>SUM(G472)</f>
        <v>832428.14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1950835</v>
      </c>
      <c r="H636" s="104">
        <f>SUM(I472)</f>
        <v>1950835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185373.32</v>
      </c>
      <c r="H637" s="164">
        <f>SUM(J468)</f>
        <v>185373.32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61741.52</v>
      </c>
      <c r="H638" s="164">
        <f>SUM(J472)</f>
        <v>61741.52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78400.89</v>
      </c>
      <c r="H639" s="104">
        <f>SUM(F461)</f>
        <v>78400.89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1492302.3800000001</v>
      </c>
      <c r="H640" s="104">
        <f>SUM(G461)</f>
        <v>1492302.3800000001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32580.62</v>
      </c>
      <c r="H641" s="104">
        <f>SUM(H461)</f>
        <v>32580.62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1603283.8900000001</v>
      </c>
      <c r="H642" s="104">
        <f>SUM(I461)</f>
        <v>1603283.8900000001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3944.32</v>
      </c>
      <c r="H644" s="104">
        <f>H408</f>
        <v>3944.32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181429</v>
      </c>
      <c r="H645" s="104">
        <f>G408</f>
        <v>181429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185373.32</v>
      </c>
      <c r="H646" s="104">
        <f>L408</f>
        <v>185373.32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827631.52999999991</v>
      </c>
      <c r="H647" s="104">
        <f>L208+L226+L244</f>
        <v>827631.53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767406.37</v>
      </c>
      <c r="H648" s="104">
        <f>(J257+J338)-(J255+J336)</f>
        <v>767406.37000000011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345797.37</v>
      </c>
      <c r="H649" s="104">
        <f>H598</f>
        <v>345797.37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145421.54999999999</v>
      </c>
      <c r="H650" s="104">
        <f>I598</f>
        <v>145421.55000000002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336412.61</v>
      </c>
      <c r="H651" s="104">
        <f>J598</f>
        <v>336412.61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178407.59</v>
      </c>
      <c r="H652" s="104">
        <f>K263+K345</f>
        <v>178407.59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181429</v>
      </c>
      <c r="H655" s="104">
        <f>K266+K347</f>
        <v>181429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13775940.690000001</v>
      </c>
      <c r="G660" s="19">
        <f>(L229+L309+L359)</f>
        <v>5115587.4799999986</v>
      </c>
      <c r="H660" s="19">
        <f>(L247+L328+L360)</f>
        <v>12858991.049999997</v>
      </c>
      <c r="I660" s="19">
        <f>SUM(F660:H660)</f>
        <v>31750519.219999999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114507.13669226103</v>
      </c>
      <c r="G661" s="19">
        <f>(L359/IF(SUM(L358:L360)=0,1,SUM(L358:L360))*(SUM(G97:G110)))</f>
        <v>42803.863651588465</v>
      </c>
      <c r="H661" s="19">
        <f>(L360/IF(SUM(L358:L360)=0,1,SUM(L358:L360))*(SUM(G97:G110)))</f>
        <v>115325.0696561505</v>
      </c>
      <c r="I661" s="19">
        <f>SUM(F661:H661)</f>
        <v>272636.07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297321.93</v>
      </c>
      <c r="G662" s="19">
        <f>(L226+L306)-(J226+J306)</f>
        <v>121543.54999999999</v>
      </c>
      <c r="H662" s="19">
        <f>(L244+L325)-(J244+J325)</f>
        <v>275582.76</v>
      </c>
      <c r="I662" s="19">
        <f>SUM(F662:H662)</f>
        <v>694448.24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706570.05999999994</v>
      </c>
      <c r="G663" s="199">
        <f>SUM(G575:G587)+SUM(I602:I604)+L612</f>
        <v>199690.76</v>
      </c>
      <c r="H663" s="199">
        <f>SUM(H575:H587)+SUM(J602:J604)+L613</f>
        <v>595123.38</v>
      </c>
      <c r="I663" s="19">
        <f>SUM(F663:H663)</f>
        <v>1501384.2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12657541.56330774</v>
      </c>
      <c r="G664" s="19">
        <f>G660-SUM(G661:G663)</f>
        <v>4751549.3063484104</v>
      </c>
      <c r="H664" s="19">
        <f>H660-SUM(H661:H663)</f>
        <v>11872959.840343846</v>
      </c>
      <c r="I664" s="19">
        <f>I660-SUM(I661:I663)</f>
        <v>29282050.710000001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746.82</v>
      </c>
      <c r="G665" s="248">
        <v>280.56</v>
      </c>
      <c r="H665" s="248">
        <v>738.57</v>
      </c>
      <c r="I665" s="19">
        <f>SUM(F665:H665)</f>
        <v>1765.9500000000003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16948.580000000002</v>
      </c>
      <c r="G667" s="19">
        <f>ROUND(G664/G665,2)</f>
        <v>16935.95</v>
      </c>
      <c r="H667" s="19">
        <f>ROUND(H664/H665,2)</f>
        <v>16075.61</v>
      </c>
      <c r="I667" s="19">
        <f>ROUND(I664/I665,2)</f>
        <v>16581.47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16948.580000000002</v>
      </c>
      <c r="G672" s="19">
        <f>ROUND((G664+G669)/(G665+G670),2)</f>
        <v>16935.95</v>
      </c>
      <c r="H672" s="19">
        <f>ROUND((H664+H669)/(H665+H670),2)</f>
        <v>16075.61</v>
      </c>
      <c r="I672" s="19">
        <f>ROUND((I664+I669)/(I665+I670),2)</f>
        <v>16581.47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A47" sqref="A4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CONWAY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6992693.5499999998</v>
      </c>
      <c r="C9" s="229">
        <f>'DOE25'!G197+'DOE25'!G215+'DOE25'!G233+'DOE25'!G276+'DOE25'!G295+'DOE25'!G314</f>
        <v>5269111.17</v>
      </c>
    </row>
    <row r="10" spans="1:3" x14ac:dyDescent="0.2">
      <c r="A10" t="s">
        <v>778</v>
      </c>
      <c r="B10" s="240">
        <v>6034795.25</v>
      </c>
      <c r="C10" s="240">
        <v>4876931.2300000004</v>
      </c>
    </row>
    <row r="11" spans="1:3" x14ac:dyDescent="0.2">
      <c r="A11" t="s">
        <v>779</v>
      </c>
      <c r="B11" s="240">
        <v>325956.7</v>
      </c>
      <c r="C11" s="240">
        <v>170719.2</v>
      </c>
    </row>
    <row r="12" spans="1:3" x14ac:dyDescent="0.2">
      <c r="A12" t="s">
        <v>780</v>
      </c>
      <c r="B12" s="240">
        <v>631941.6</v>
      </c>
      <c r="C12" s="240">
        <v>221460.74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6992693.5499999998</v>
      </c>
      <c r="C13" s="231">
        <f>SUM(C10:C12)</f>
        <v>5269111.1700000009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2474436.9</v>
      </c>
      <c r="C18" s="229">
        <f>'DOE25'!G198+'DOE25'!G216+'DOE25'!G234+'DOE25'!G277+'DOE25'!G296+'DOE25'!G315</f>
        <v>1755919.72</v>
      </c>
    </row>
    <row r="19" spans="1:3" x14ac:dyDescent="0.2">
      <c r="A19" t="s">
        <v>778</v>
      </c>
      <c r="B19" s="240">
        <v>1081739.68</v>
      </c>
      <c r="C19" s="240">
        <v>686389.02</v>
      </c>
    </row>
    <row r="20" spans="1:3" x14ac:dyDescent="0.2">
      <c r="A20" t="s">
        <v>779</v>
      </c>
      <c r="B20" s="240">
        <v>1329228.68</v>
      </c>
      <c r="C20" s="240">
        <v>1046527.98</v>
      </c>
    </row>
    <row r="21" spans="1:3" x14ac:dyDescent="0.2">
      <c r="A21" t="s">
        <v>780</v>
      </c>
      <c r="B21" s="240">
        <v>63468.54</v>
      </c>
      <c r="C21" s="240">
        <v>23002.720000000001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2474436.9</v>
      </c>
      <c r="C22" s="231">
        <f>SUM(C19:C21)</f>
        <v>1755919.72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480633.53</v>
      </c>
      <c r="C27" s="234">
        <f>'DOE25'!G199+'DOE25'!G217+'DOE25'!G235+'DOE25'!G278+'DOE25'!G297+'DOE25'!G316</f>
        <v>277847.14</v>
      </c>
    </row>
    <row r="28" spans="1:3" x14ac:dyDescent="0.2">
      <c r="A28" t="s">
        <v>778</v>
      </c>
      <c r="B28" s="240">
        <v>431057.96</v>
      </c>
      <c r="C28" s="240">
        <v>264063.62</v>
      </c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>
        <v>49575.57</v>
      </c>
      <c r="C30" s="240">
        <v>13783.52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480633.53</v>
      </c>
      <c r="C31" s="231">
        <f>SUM(C28:C30)</f>
        <v>277847.14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431739.04</v>
      </c>
      <c r="C36" s="235">
        <f>'DOE25'!G200+'DOE25'!G218+'DOE25'!G236+'DOE25'!G279+'DOE25'!G298+'DOE25'!G317</f>
        <v>77407.72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431739.04</v>
      </c>
      <c r="C39" s="240">
        <v>77407.72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431739.04</v>
      </c>
      <c r="C40" s="231">
        <f>SUM(C37:C39)</f>
        <v>77407.72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0" sqref="E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CONWAY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18872558.030000001</v>
      </c>
      <c r="D5" s="20">
        <f>SUM('DOE25'!L197:L200)+SUM('DOE25'!L215:L218)+SUM('DOE25'!L233:L236)-F5-G5</f>
        <v>18424383.450000003</v>
      </c>
      <c r="E5" s="243"/>
      <c r="F5" s="255">
        <f>SUM('DOE25'!J197:J200)+SUM('DOE25'!J215:J218)+SUM('DOE25'!J233:J236)</f>
        <v>436001.18</v>
      </c>
      <c r="G5" s="53">
        <f>SUM('DOE25'!K197:K200)+SUM('DOE25'!K215:K218)+SUM('DOE25'!K233:K236)</f>
        <v>12173.4</v>
      </c>
      <c r="H5" s="259"/>
    </row>
    <row r="6" spans="1:9" x14ac:dyDescent="0.2">
      <c r="A6" s="32">
        <v>2100</v>
      </c>
      <c r="B6" t="s">
        <v>800</v>
      </c>
      <c r="C6" s="245">
        <f t="shared" si="0"/>
        <v>2303143.73</v>
      </c>
      <c r="D6" s="20">
        <f>'DOE25'!L202+'DOE25'!L220+'DOE25'!L238-F6-G6</f>
        <v>2298223.59</v>
      </c>
      <c r="E6" s="243"/>
      <c r="F6" s="255">
        <f>'DOE25'!J202+'DOE25'!J220+'DOE25'!J238</f>
        <v>4748.7300000000005</v>
      </c>
      <c r="G6" s="53">
        <f>'DOE25'!K202+'DOE25'!K220+'DOE25'!K238</f>
        <v>171.41</v>
      </c>
      <c r="H6" s="259"/>
    </row>
    <row r="7" spans="1:9" x14ac:dyDescent="0.2">
      <c r="A7" s="32">
        <v>2200</v>
      </c>
      <c r="B7" t="s">
        <v>833</v>
      </c>
      <c r="C7" s="245">
        <f t="shared" si="0"/>
        <v>562866.53</v>
      </c>
      <c r="D7" s="20">
        <f>'DOE25'!L203+'DOE25'!L221+'DOE25'!L239-F7-G7</f>
        <v>556798.03</v>
      </c>
      <c r="E7" s="243"/>
      <c r="F7" s="255">
        <f>'DOE25'!J203+'DOE25'!J221+'DOE25'!J239</f>
        <v>4342.5</v>
      </c>
      <c r="G7" s="53">
        <f>'DOE25'!K203+'DOE25'!K221+'DOE25'!K239</f>
        <v>1726</v>
      </c>
      <c r="H7" s="259"/>
    </row>
    <row r="8" spans="1:9" x14ac:dyDescent="0.2">
      <c r="A8" s="32">
        <v>2300</v>
      </c>
      <c r="B8" t="s">
        <v>801</v>
      </c>
      <c r="C8" s="245">
        <f t="shared" si="0"/>
        <v>680994.5</v>
      </c>
      <c r="D8" s="243"/>
      <c r="E8" s="20">
        <f>'DOE25'!L204+'DOE25'!L222+'DOE25'!L240-F8-G8-D9-D11</f>
        <v>675488.24</v>
      </c>
      <c r="F8" s="255">
        <f>'DOE25'!J204+'DOE25'!J222+'DOE25'!J240</f>
        <v>0</v>
      </c>
      <c r="G8" s="53">
        <f>'DOE25'!K204+'DOE25'!K222+'DOE25'!K240</f>
        <v>5506.26</v>
      </c>
      <c r="H8" s="259"/>
    </row>
    <row r="9" spans="1:9" x14ac:dyDescent="0.2">
      <c r="A9" s="32">
        <v>2310</v>
      </c>
      <c r="B9" t="s">
        <v>817</v>
      </c>
      <c r="C9" s="245">
        <f t="shared" si="0"/>
        <v>295010.74</v>
      </c>
      <c r="D9" s="244">
        <v>295010.74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15670</v>
      </c>
      <c r="D10" s="243"/>
      <c r="E10" s="244">
        <v>15670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263922.5</v>
      </c>
      <c r="D11" s="244">
        <v>263922.5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1574565.58</v>
      </c>
      <c r="D12" s="20">
        <f>'DOE25'!L205+'DOE25'!L223+'DOE25'!L241-F12-G12</f>
        <v>1539500.68</v>
      </c>
      <c r="E12" s="243"/>
      <c r="F12" s="255">
        <f>'DOE25'!J205+'DOE25'!J223+'DOE25'!J241</f>
        <v>13582.86</v>
      </c>
      <c r="G12" s="53">
        <f>'DOE25'!K205+'DOE25'!K223+'DOE25'!K241</f>
        <v>21482.04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3855853.51</v>
      </c>
      <c r="D14" s="20">
        <f>'DOE25'!L207+'DOE25'!L225+'DOE25'!L243-F14-G14</f>
        <v>3794891.1999999997</v>
      </c>
      <c r="E14" s="243"/>
      <c r="F14" s="255">
        <f>'DOE25'!J207+'DOE25'!J225+'DOE25'!J243</f>
        <v>60962.31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827631.53</v>
      </c>
      <c r="D15" s="20">
        <f>'DOE25'!L208+'DOE25'!L226+'DOE25'!L244-F15-G15</f>
        <v>675540.53</v>
      </c>
      <c r="E15" s="243"/>
      <c r="F15" s="255">
        <f>'DOE25'!J208+'DOE25'!J226+'DOE25'!J244</f>
        <v>152091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3321.79</v>
      </c>
      <c r="D16" s="243"/>
      <c r="E16" s="20">
        <f>'DOE25'!L209+'DOE25'!L227+'DOE25'!L245-F16-G16</f>
        <v>3321.79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2535669.5699999998</v>
      </c>
      <c r="D25" s="243"/>
      <c r="E25" s="243"/>
      <c r="F25" s="258"/>
      <c r="G25" s="256"/>
      <c r="H25" s="257">
        <f>'DOE25'!L260+'DOE25'!L261+'DOE25'!L341+'DOE25'!L342</f>
        <v>2535669.5699999998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594849.52</v>
      </c>
      <c r="D29" s="20">
        <f>'DOE25'!L358+'DOE25'!L359+'DOE25'!L360-'DOE25'!I367-F29-G29</f>
        <v>594726.88</v>
      </c>
      <c r="E29" s="243"/>
      <c r="F29" s="255">
        <f>'DOE25'!J358+'DOE25'!J359+'DOE25'!J360</f>
        <v>122.63999999999999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1725231.5500000003</v>
      </c>
      <c r="D31" s="20">
        <f>'DOE25'!L290+'DOE25'!L309+'DOE25'!L328+'DOE25'!L333+'DOE25'!L334+'DOE25'!L335-F31-G31</f>
        <v>1627357.1300000004</v>
      </c>
      <c r="E31" s="243"/>
      <c r="F31" s="255">
        <f>'DOE25'!J290+'DOE25'!J309+'DOE25'!J328+'DOE25'!J333+'DOE25'!J334+'DOE25'!J335</f>
        <v>95677.79</v>
      </c>
      <c r="G31" s="53">
        <f>'DOE25'!K290+'DOE25'!K309+'DOE25'!K328+'DOE25'!K333+'DOE25'!K334+'DOE25'!K335</f>
        <v>2196.63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30070354.73</v>
      </c>
      <c r="E33" s="246">
        <f>SUM(E5:E31)</f>
        <v>694480.03</v>
      </c>
      <c r="F33" s="246">
        <f>SUM(F5:F31)</f>
        <v>767529.01</v>
      </c>
      <c r="G33" s="246">
        <f>SUM(G5:G31)</f>
        <v>43255.74</v>
      </c>
      <c r="H33" s="246">
        <f>SUM(H5:H31)</f>
        <v>2535669.5699999998</v>
      </c>
    </row>
    <row r="35" spans="2:8" ht="12" thickBot="1" x14ac:dyDescent="0.25">
      <c r="B35" s="253" t="s">
        <v>846</v>
      </c>
      <c r="D35" s="254">
        <f>E33</f>
        <v>694480.03</v>
      </c>
      <c r="E35" s="249"/>
    </row>
    <row r="36" spans="2:8" ht="12" thickTop="1" x14ac:dyDescent="0.2">
      <c r="B36" t="s">
        <v>814</v>
      </c>
      <c r="D36" s="20">
        <f>D33</f>
        <v>30070354.73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CONWAY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1077377.78</v>
      </c>
      <c r="D8" s="95">
        <f>'DOE25'!G9</f>
        <v>272467.73</v>
      </c>
      <c r="E8" s="95">
        <f>'DOE25'!H9</f>
        <v>0</v>
      </c>
      <c r="F8" s="95">
        <f>'DOE25'!I9</f>
        <v>0</v>
      </c>
      <c r="G8" s="95">
        <f>'DOE25'!J9</f>
        <v>1603283.8900000001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889114.45</v>
      </c>
      <c r="D11" s="95">
        <f>'DOE25'!G12</f>
        <v>193242.87</v>
      </c>
      <c r="E11" s="95">
        <f>'DOE25'!H12</f>
        <v>0</v>
      </c>
      <c r="F11" s="95">
        <f>'DOE25'!I12</f>
        <v>49165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142099.18</v>
      </c>
      <c r="D12" s="95">
        <f>'DOE25'!G13</f>
        <v>67783.62</v>
      </c>
      <c r="E12" s="95">
        <f>'DOE25'!H13</f>
        <v>463973.61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18579.11</v>
      </c>
      <c r="D13" s="95">
        <f>'DOE25'!G14</f>
        <v>1452.44</v>
      </c>
      <c r="E13" s="95">
        <f>'DOE25'!H14</f>
        <v>8350.11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35671.79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2127170.52</v>
      </c>
      <c r="D18" s="41">
        <f>SUM(D8:D17)</f>
        <v>570618.44999999995</v>
      </c>
      <c r="E18" s="41">
        <f>SUM(E8:E17)</f>
        <v>472323.72</v>
      </c>
      <c r="F18" s="41">
        <f>SUM(F8:F17)</f>
        <v>49165</v>
      </c>
      <c r="G18" s="41">
        <f>SUM(G8:G17)</f>
        <v>1603283.8900000001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242407.87</v>
      </c>
      <c r="D21" s="95">
        <f>'DOE25'!G22</f>
        <v>534758.57999999996</v>
      </c>
      <c r="E21" s="95">
        <f>'DOE25'!H22</f>
        <v>292614.34999999998</v>
      </c>
      <c r="F21" s="95">
        <f>'DOE25'!I22</f>
        <v>0</v>
      </c>
      <c r="G21" s="95">
        <f>'DOE25'!J22</f>
        <v>61741.52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63404.5</v>
      </c>
      <c r="D23" s="95">
        <f>'DOE25'!G24</f>
        <v>188.08</v>
      </c>
      <c r="E23" s="95">
        <f>'DOE25'!H24</f>
        <v>2416.7600000000002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29239.31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765.25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335816.93</v>
      </c>
      <c r="D31" s="41">
        <f>SUM(D21:D30)</f>
        <v>534946.65999999992</v>
      </c>
      <c r="E31" s="41">
        <f>SUM(E21:E30)</f>
        <v>295031.11</v>
      </c>
      <c r="F31" s="41">
        <f>SUM(F21:F30)</f>
        <v>0</v>
      </c>
      <c r="G31" s="41">
        <f>SUM(G21:G30)</f>
        <v>61741.52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35671.79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214850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177292.61</v>
      </c>
      <c r="F47" s="95">
        <f>'DOE25'!I48</f>
        <v>49165</v>
      </c>
      <c r="G47" s="95">
        <f>'DOE25'!J48</f>
        <v>1541542.37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7500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1569003.59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1791353.59</v>
      </c>
      <c r="D50" s="41">
        <f>SUM(D34:D49)</f>
        <v>35671.79</v>
      </c>
      <c r="E50" s="41">
        <f>SUM(E34:E49)</f>
        <v>177292.61</v>
      </c>
      <c r="F50" s="41">
        <f>SUM(F34:F49)</f>
        <v>49165</v>
      </c>
      <c r="G50" s="41">
        <f>SUM(G34:G49)</f>
        <v>1541542.37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2127170.52</v>
      </c>
      <c r="D51" s="41">
        <f>D50+D31</f>
        <v>570618.44999999995</v>
      </c>
      <c r="E51" s="41">
        <f>E50+E31</f>
        <v>472323.72</v>
      </c>
      <c r="F51" s="41">
        <f>F50+F31</f>
        <v>49165</v>
      </c>
      <c r="G51" s="41">
        <f>G50+G31</f>
        <v>1603283.8900000001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13822646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9427821.1600000001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42467.360000000001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2469.56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3944.32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272383.49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433559.42</v>
      </c>
      <c r="D61" s="95">
        <f>SUM('DOE25'!G98:G110)</f>
        <v>252.58</v>
      </c>
      <c r="E61" s="95">
        <f>SUM('DOE25'!H98:H110)</f>
        <v>240914.81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9906317.5</v>
      </c>
      <c r="D62" s="130">
        <f>SUM(D57:D61)</f>
        <v>272636.07</v>
      </c>
      <c r="E62" s="130">
        <f>SUM(E57:E61)</f>
        <v>240914.81</v>
      </c>
      <c r="F62" s="130">
        <f>SUM(F57:F61)</f>
        <v>0</v>
      </c>
      <c r="G62" s="130">
        <f>SUM(G57:G61)</f>
        <v>3944.32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23728963.5</v>
      </c>
      <c r="D63" s="22">
        <f>D56+D62</f>
        <v>272636.07</v>
      </c>
      <c r="E63" s="22">
        <f>E56+E62</f>
        <v>240914.81</v>
      </c>
      <c r="F63" s="22">
        <f>F56+F62</f>
        <v>0</v>
      </c>
      <c r="G63" s="22">
        <f>G56+G62</f>
        <v>3944.32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3139379.76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3365331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6456.45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6511167.21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1060664.08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212951.5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8715.9699999999993</v>
      </c>
      <c r="E77" s="95">
        <f>SUM('DOE25'!H131:H135)</f>
        <v>47008.91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1273615.58</v>
      </c>
      <c r="D78" s="130">
        <f>SUM(D72:D77)</f>
        <v>8715.9699999999993</v>
      </c>
      <c r="E78" s="130">
        <f>SUM(E72:E77)</f>
        <v>47008.91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7784782.79</v>
      </c>
      <c r="D81" s="130">
        <f>SUM(D79:D80)+D78+D70</f>
        <v>8715.9699999999993</v>
      </c>
      <c r="E81" s="130">
        <f>SUM(E79:E80)+E78+E70</f>
        <v>47008.91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257976.87</v>
      </c>
      <c r="D88" s="95">
        <f>SUM('DOE25'!G153:G161)</f>
        <v>372668.51</v>
      </c>
      <c r="E88" s="95">
        <f>SUM('DOE25'!H153:H161)</f>
        <v>1471000.89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833.89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258810.76</v>
      </c>
      <c r="D91" s="131">
        <f>SUM(D85:D90)</f>
        <v>372668.51</v>
      </c>
      <c r="E91" s="131">
        <f>SUM(E85:E90)</f>
        <v>1471000.89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2000000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178407.59</v>
      </c>
      <c r="E96" s="95">
        <f>'DOE25'!H179</f>
        <v>0</v>
      </c>
      <c r="F96" s="95">
        <f>'DOE25'!I179</f>
        <v>0</v>
      </c>
      <c r="G96" s="95">
        <f>'DOE25'!J179</f>
        <v>181429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61741.52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61741.52</v>
      </c>
      <c r="D103" s="86">
        <f>SUM(D93:D102)</f>
        <v>178407.59</v>
      </c>
      <c r="E103" s="86">
        <f>SUM(E93:E102)</f>
        <v>0</v>
      </c>
      <c r="F103" s="86">
        <f>SUM(F93:F102)</f>
        <v>2000000</v>
      </c>
      <c r="G103" s="86">
        <f>SUM(G93:G102)</f>
        <v>181429</v>
      </c>
    </row>
    <row r="104" spans="1:7" ht="12.75" thickTop="1" thickBot="1" x14ac:dyDescent="0.25">
      <c r="A104" s="33" t="s">
        <v>764</v>
      </c>
      <c r="C104" s="86">
        <f>C63+C81+C91+C103</f>
        <v>31834298.57</v>
      </c>
      <c r="D104" s="86">
        <f>D63+D81+D91+D103</f>
        <v>832428.14</v>
      </c>
      <c r="E104" s="86">
        <f>E63+E81+E91+E103</f>
        <v>1758924.6099999999</v>
      </c>
      <c r="F104" s="86">
        <f>F63+F81+F91+F103</f>
        <v>2000000</v>
      </c>
      <c r="G104" s="86">
        <f>G63+G81+G103</f>
        <v>185373.32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12388146.300000001</v>
      </c>
      <c r="D109" s="24" t="s">
        <v>288</v>
      </c>
      <c r="E109" s="95">
        <f>('DOE25'!L276)+('DOE25'!L295)+('DOE25'!L314)</f>
        <v>714426.11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5113752.76</v>
      </c>
      <c r="D110" s="24" t="s">
        <v>288</v>
      </c>
      <c r="E110" s="95">
        <f>('DOE25'!L277)+('DOE25'!L296)+('DOE25'!L315)</f>
        <v>115619.93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847873.5</v>
      </c>
      <c r="D111" s="24" t="s">
        <v>288</v>
      </c>
      <c r="E111" s="95">
        <f>('DOE25'!L278)+('DOE25'!L297)+('DOE25'!L316)</f>
        <v>101695.79000000001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522785.47000000003</v>
      </c>
      <c r="D112" s="24" t="s">
        <v>288</v>
      </c>
      <c r="E112" s="95">
        <f>+('DOE25'!L279)+('DOE25'!L298)+('DOE25'!L317)</f>
        <v>177821.29000000004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47008.909999999989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18872558.030000001</v>
      </c>
      <c r="D115" s="86">
        <f>SUM(D109:D114)</f>
        <v>0</v>
      </c>
      <c r="E115" s="86">
        <f>SUM(E109:E114)</f>
        <v>1156572.03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2303143.73</v>
      </c>
      <c r="D118" s="24" t="s">
        <v>288</v>
      </c>
      <c r="E118" s="95">
        <f>+('DOE25'!L281)+('DOE25'!L300)+('DOE25'!L319)</f>
        <v>322238.87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562866.53</v>
      </c>
      <c r="D119" s="24" t="s">
        <v>288</v>
      </c>
      <c r="E119" s="95">
        <f>+('DOE25'!L282)+('DOE25'!L301)+('DOE25'!L320)</f>
        <v>213812.94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1239927.74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1574565.58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3855853.51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827631.53</v>
      </c>
      <c r="D124" s="24" t="s">
        <v>288</v>
      </c>
      <c r="E124" s="95">
        <f>+('DOE25'!L287)+('DOE25'!L306)+('DOE25'!L325)</f>
        <v>18907.71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3321.79</v>
      </c>
      <c r="D125" s="24" t="s">
        <v>288</v>
      </c>
      <c r="E125" s="95">
        <f>+('DOE25'!L288)+('DOE25'!L307)+('DOE25'!L326)</f>
        <v>13700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832428.14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10367310.409999998</v>
      </c>
      <c r="D128" s="86">
        <f>SUM(D118:D127)</f>
        <v>832428.14</v>
      </c>
      <c r="E128" s="86">
        <f>SUM(E118:E127)</f>
        <v>568659.52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1950835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1850000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685669.57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61741.52</v>
      </c>
    </row>
    <row r="135" spans="1:7" x14ac:dyDescent="0.2">
      <c r="A135" t="s">
        <v>233</v>
      </c>
      <c r="B135" s="32" t="s">
        <v>234</v>
      </c>
      <c r="C135" s="95">
        <f>'DOE25'!L263</f>
        <v>178407.59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217.01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185066.13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90.18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-3944.320000000007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2895506.1599999997</v>
      </c>
      <c r="D144" s="141">
        <f>SUM(D130:D143)</f>
        <v>0</v>
      </c>
      <c r="E144" s="141">
        <f>SUM(E130:E143)</f>
        <v>0</v>
      </c>
      <c r="F144" s="141">
        <f>SUM(F130:F143)</f>
        <v>1950835</v>
      </c>
      <c r="G144" s="141">
        <f>SUM(G130:G143)</f>
        <v>61741.52</v>
      </c>
    </row>
    <row r="145" spans="1:9" ht="12.75" thickTop="1" thickBot="1" x14ac:dyDescent="0.25">
      <c r="A145" s="33" t="s">
        <v>244</v>
      </c>
      <c r="C145" s="86">
        <f>(C115+C128+C144)</f>
        <v>32135374.599999998</v>
      </c>
      <c r="D145" s="86">
        <f>(D115+D128+D144)</f>
        <v>832428.14</v>
      </c>
      <c r="E145" s="86">
        <f>(E115+E128+E144)</f>
        <v>1725231.55</v>
      </c>
      <c r="F145" s="86">
        <f>(F115+F128+F144)</f>
        <v>1950835</v>
      </c>
      <c r="G145" s="86">
        <f>(G115+G128+G144)</f>
        <v>61741.52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12/2003</v>
      </c>
      <c r="C152" s="152" t="str">
        <f>'DOE25'!G491</f>
        <v>7/2016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1/2024</v>
      </c>
      <c r="C153" s="152" t="str">
        <f>'DOE25'!G492</f>
        <v>6/2037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42120000</v>
      </c>
      <c r="C154" s="137">
        <f>'DOE25'!G493</f>
        <v>2000000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</v>
      </c>
      <c r="C155" s="137">
        <f>'DOE25'!G494</f>
        <v>2.5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14760000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14760000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1837000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1837000</v>
      </c>
    </row>
    <row r="158" spans="1:9" x14ac:dyDescent="0.2">
      <c r="A158" s="22" t="s">
        <v>34</v>
      </c>
      <c r="B158" s="137">
        <f>'DOE25'!F497</f>
        <v>1850000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1850000</v>
      </c>
    </row>
    <row r="159" spans="1:9" x14ac:dyDescent="0.2">
      <c r="A159" s="22" t="s">
        <v>35</v>
      </c>
      <c r="B159" s="137">
        <f>'DOE25'!F498</f>
        <v>12910000</v>
      </c>
      <c r="C159" s="137">
        <f>'DOE25'!G498</f>
        <v>1837000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14747000</v>
      </c>
    </row>
    <row r="160" spans="1:9" x14ac:dyDescent="0.2">
      <c r="A160" s="22" t="s">
        <v>36</v>
      </c>
      <c r="B160" s="137">
        <f>'DOE25'!F499</f>
        <v>2075377.86</v>
      </c>
      <c r="C160" s="137">
        <f>'DOE25'!G499</f>
        <v>625838.52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2701216.38</v>
      </c>
    </row>
    <row r="161" spans="1:7" x14ac:dyDescent="0.2">
      <c r="A161" s="22" t="s">
        <v>37</v>
      </c>
      <c r="B161" s="137">
        <f>'DOE25'!F500</f>
        <v>14985377.859999999</v>
      </c>
      <c r="C161" s="137">
        <f>'DOE25'!G500</f>
        <v>2462838.52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17448216.379999999</v>
      </c>
    </row>
    <row r="162" spans="1:7" x14ac:dyDescent="0.2">
      <c r="A162" s="22" t="s">
        <v>38</v>
      </c>
      <c r="B162" s="137">
        <f>'DOE25'!F501</f>
        <v>1850000</v>
      </c>
      <c r="C162" s="137">
        <f>'DOE25'!G501</f>
        <v>87700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1937700</v>
      </c>
    </row>
    <row r="163" spans="1:7" x14ac:dyDescent="0.2">
      <c r="A163" s="22" t="s">
        <v>39</v>
      </c>
      <c r="B163" s="137">
        <f>'DOE25'!F502</f>
        <v>569725</v>
      </c>
      <c r="C163" s="137">
        <f>'DOE25'!G502</f>
        <v>69364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639089</v>
      </c>
    </row>
    <row r="164" spans="1:7" x14ac:dyDescent="0.2">
      <c r="A164" s="22" t="s">
        <v>246</v>
      </c>
      <c r="B164" s="137">
        <f>'DOE25'!F503</f>
        <v>2419725</v>
      </c>
      <c r="C164" s="137">
        <f>'DOE25'!G503</f>
        <v>157064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2576789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CONWAY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16949</v>
      </c>
    </row>
    <row r="5" spans="1:4" x14ac:dyDescent="0.2">
      <c r="B5" t="s">
        <v>703</v>
      </c>
      <c r="C5" s="179">
        <f>IF('DOE25'!G665+'DOE25'!G670=0,0,ROUND('DOE25'!G672,0))</f>
        <v>16936</v>
      </c>
    </row>
    <row r="6" spans="1:4" x14ac:dyDescent="0.2">
      <c r="B6" t="s">
        <v>62</v>
      </c>
      <c r="C6" s="179">
        <f>IF('DOE25'!H665+'DOE25'!H670=0,0,ROUND('DOE25'!H672,0))</f>
        <v>16076</v>
      </c>
    </row>
    <row r="7" spans="1:4" x14ac:dyDescent="0.2">
      <c r="B7" t="s">
        <v>704</v>
      </c>
      <c r="C7" s="179">
        <f>IF('DOE25'!I665+'DOE25'!I670=0,0,ROUND('DOE25'!I672,0))</f>
        <v>16581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13102572</v>
      </c>
      <c r="D10" s="182">
        <f>ROUND((C10/$C$28)*100,1)</f>
        <v>40.700000000000003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5229373</v>
      </c>
      <c r="D11" s="182">
        <f>ROUND((C11/$C$28)*100,1)</f>
        <v>16.2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949569</v>
      </c>
      <c r="D12" s="182">
        <f>ROUND((C12/$C$28)*100,1)</f>
        <v>2.9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700607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2625383</v>
      </c>
      <c r="D15" s="182">
        <f t="shared" ref="D15:D27" si="0">ROUND((C15/$C$28)*100,1)</f>
        <v>8.1999999999999993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776679</v>
      </c>
      <c r="D16" s="182">
        <f t="shared" si="0"/>
        <v>2.4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1256950</v>
      </c>
      <c r="D17" s="182">
        <f t="shared" si="0"/>
        <v>3.9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1574566</v>
      </c>
      <c r="D18" s="182">
        <f t="shared" si="0"/>
        <v>4.9000000000000004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3855854</v>
      </c>
      <c r="D20" s="182">
        <f t="shared" si="0"/>
        <v>12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846539</v>
      </c>
      <c r="D21" s="182">
        <f t="shared" si="0"/>
        <v>2.6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47009</v>
      </c>
      <c r="D24" s="182">
        <f t="shared" si="0"/>
        <v>0.1</v>
      </c>
    </row>
    <row r="25" spans="1:4" x14ac:dyDescent="0.2">
      <c r="A25">
        <v>5120</v>
      </c>
      <c r="B25" t="s">
        <v>719</v>
      </c>
      <c r="C25" s="179">
        <f>ROUND('DOE25'!L261+'DOE25'!L342,0)</f>
        <v>685670</v>
      </c>
      <c r="D25" s="182">
        <f t="shared" si="0"/>
        <v>2.1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559791.92999999993</v>
      </c>
      <c r="D27" s="182">
        <f t="shared" si="0"/>
        <v>1.7</v>
      </c>
    </row>
    <row r="28" spans="1:4" x14ac:dyDescent="0.2">
      <c r="B28" s="187" t="s">
        <v>722</v>
      </c>
      <c r="C28" s="180">
        <f>SUM(C10:C27)</f>
        <v>32210562.93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1950835</v>
      </c>
    </row>
    <row r="30" spans="1:4" x14ac:dyDescent="0.2">
      <c r="B30" s="187" t="s">
        <v>728</v>
      </c>
      <c r="C30" s="180">
        <f>SUM(C28:C29)</f>
        <v>34161397.93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1850000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13822646</v>
      </c>
      <c r="D35" s="182">
        <f t="shared" ref="D35:D40" si="1">ROUND((C35/$C$41)*100,1)</f>
        <v>40.6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10313476.629999999</v>
      </c>
      <c r="D36" s="182">
        <f t="shared" si="1"/>
        <v>30.3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6504711</v>
      </c>
      <c r="D37" s="182">
        <f t="shared" si="1"/>
        <v>19.100000000000001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1335797</v>
      </c>
      <c r="D38" s="182">
        <f t="shared" si="1"/>
        <v>3.9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2102480</v>
      </c>
      <c r="D39" s="182">
        <f t="shared" si="1"/>
        <v>6.2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34079110.629999995</v>
      </c>
      <c r="D41" s="184">
        <f>SUM(D35:D40)</f>
        <v>100.10000000000001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1837700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CONWAY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2017-09-14T12:11:44Z</cp:lastPrinted>
  <dcterms:created xsi:type="dcterms:W3CDTF">1997-12-04T19:04:30Z</dcterms:created>
  <dcterms:modified xsi:type="dcterms:W3CDTF">2017-11-29T17:14:55Z</dcterms:modified>
</cp:coreProperties>
</file>