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workbookProtection workbookPassword="AB0A" lockStructure="1"/>
  <bookViews>
    <workbookView xWindow="0" yWindow="0" windowWidth="28800" windowHeight="118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" i="2" l="1"/>
  <c r="C48" i="2"/>
  <c r="F575" i="1" l="1"/>
  <c r="H197" i="1"/>
  <c r="H582" i="1" l="1"/>
  <c r="H591" i="1"/>
  <c r="H234" i="1"/>
  <c r="H528" i="1"/>
  <c r="H523" i="1"/>
  <c r="H575" i="1"/>
  <c r="G575" i="1"/>
  <c r="G663" i="1" s="1"/>
  <c r="I198" i="1"/>
  <c r="I521" i="1"/>
  <c r="H198" i="1"/>
  <c r="H521" i="1"/>
  <c r="G521" i="1"/>
  <c r="I197" i="1"/>
  <c r="I591" i="1"/>
  <c r="J591" i="1"/>
  <c r="H208" i="1"/>
  <c r="I222" i="1"/>
  <c r="I240" i="1"/>
  <c r="I204" i="1"/>
  <c r="H222" i="1"/>
  <c r="H240" i="1"/>
  <c r="H204" i="1"/>
  <c r="G222" i="1"/>
  <c r="G240" i="1"/>
  <c r="G204" i="1"/>
  <c r="F222" i="1"/>
  <c r="F240" i="1"/>
  <c r="F204" i="1"/>
  <c r="I205" i="1"/>
  <c r="G205" i="1"/>
  <c r="F205" i="1"/>
  <c r="F198" i="1"/>
  <c r="F276" i="1"/>
  <c r="F521" i="1"/>
  <c r="H527" i="1"/>
  <c r="I208" i="1"/>
  <c r="J96" i="1"/>
  <c r="L413" i="1"/>
  <c r="L414" i="1"/>
  <c r="L415" i="1"/>
  <c r="L416" i="1"/>
  <c r="L417" i="1"/>
  <c r="L418" i="1"/>
  <c r="L419" i="1"/>
  <c r="L421" i="1"/>
  <c r="L422" i="1"/>
  <c r="L423" i="1"/>
  <c r="L424" i="1"/>
  <c r="L425" i="1"/>
  <c r="L426" i="1"/>
  <c r="L427" i="1"/>
  <c r="L429" i="1"/>
  <c r="L430" i="1"/>
  <c r="L431" i="1"/>
  <c r="L432" i="1"/>
  <c r="L433" i="1"/>
  <c r="L434" i="1"/>
  <c r="J472" i="1"/>
  <c r="L387" i="1"/>
  <c r="L388" i="1"/>
  <c r="L389" i="1"/>
  <c r="L390" i="1"/>
  <c r="L391" i="1"/>
  <c r="L392" i="1"/>
  <c r="L393" i="1"/>
  <c r="L395" i="1"/>
  <c r="L396" i="1"/>
  <c r="L397" i="1"/>
  <c r="L398" i="1"/>
  <c r="L399" i="1"/>
  <c r="H400" i="1"/>
  <c r="L400" i="1"/>
  <c r="L401" i="1"/>
  <c r="L403" i="1"/>
  <c r="L404" i="1"/>
  <c r="L405" i="1"/>
  <c r="L406" i="1"/>
  <c r="L407" i="1"/>
  <c r="L408" i="1"/>
  <c r="J468" i="1"/>
  <c r="G440" i="1"/>
  <c r="G459" i="1"/>
  <c r="G19" i="1"/>
  <c r="G32" i="1"/>
  <c r="G40" i="1"/>
  <c r="D9" i="13"/>
  <c r="C11" i="12"/>
  <c r="B10" i="12"/>
  <c r="G276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0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09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28" i="1"/>
  <c r="F337" i="1"/>
  <c r="G337" i="1"/>
  <c r="H337" i="1"/>
  <c r="I337" i="1"/>
  <c r="J337" i="1"/>
  <c r="K337" i="1"/>
  <c r="L337" i="1"/>
  <c r="L338" i="1"/>
  <c r="L341" i="1"/>
  <c r="L342" i="1"/>
  <c r="L344" i="1"/>
  <c r="L345" i="1"/>
  <c r="L346" i="1"/>
  <c r="L347" i="1"/>
  <c r="L349" i="1"/>
  <c r="L350" i="1"/>
  <c r="L351" i="1"/>
  <c r="L352" i="1"/>
  <c r="H472" i="1"/>
  <c r="H60" i="1"/>
  <c r="H79" i="1"/>
  <c r="H94" i="1"/>
  <c r="H111" i="1"/>
  <c r="H112" i="1"/>
  <c r="H121" i="1"/>
  <c r="H136" i="1"/>
  <c r="H140" i="1"/>
  <c r="H147" i="1"/>
  <c r="H162" i="1"/>
  <c r="H169" i="1"/>
  <c r="H183" i="1"/>
  <c r="H188" i="1"/>
  <c r="H192" i="1"/>
  <c r="H193" i="1"/>
  <c r="H468" i="1"/>
  <c r="F358" i="1"/>
  <c r="L358" i="1"/>
  <c r="L359" i="1"/>
  <c r="L360" i="1"/>
  <c r="L361" i="1"/>
  <c r="L362" i="1"/>
  <c r="G472" i="1"/>
  <c r="G60" i="1"/>
  <c r="G111" i="1"/>
  <c r="G112" i="1"/>
  <c r="G121" i="1"/>
  <c r="G136" i="1"/>
  <c r="G140" i="1"/>
  <c r="G147" i="1"/>
  <c r="G162" i="1"/>
  <c r="G169" i="1"/>
  <c r="G183" i="1"/>
  <c r="G188" i="1"/>
  <c r="G192" i="1"/>
  <c r="G193" i="1"/>
  <c r="G468" i="1"/>
  <c r="H203" i="1"/>
  <c r="F60" i="1"/>
  <c r="F79" i="1"/>
  <c r="F94" i="1"/>
  <c r="F96" i="1"/>
  <c r="F111" i="1"/>
  <c r="F112" i="1"/>
  <c r="F121" i="1"/>
  <c r="F136" i="1"/>
  <c r="F140" i="1"/>
  <c r="F147" i="1"/>
  <c r="F162" i="1"/>
  <c r="F169" i="1"/>
  <c r="F177" i="1"/>
  <c r="F183" i="1"/>
  <c r="F188" i="1"/>
  <c r="F192" i="1"/>
  <c r="F193" i="1"/>
  <c r="F468" i="1"/>
  <c r="F465" i="1"/>
  <c r="H595" i="1"/>
  <c r="J197" i="1"/>
  <c r="J204" i="1"/>
  <c r="J211" i="1"/>
  <c r="J229" i="1"/>
  <c r="J247" i="1"/>
  <c r="J256" i="1"/>
  <c r="J257" i="1"/>
  <c r="J270" i="1"/>
  <c r="J271" i="1"/>
  <c r="H604" i="1"/>
  <c r="F368" i="1"/>
  <c r="G208" i="1"/>
  <c r="F208" i="1"/>
  <c r="H207" i="1"/>
  <c r="F207" i="1"/>
  <c r="K204" i="1"/>
  <c r="I203" i="1"/>
  <c r="G203" i="1"/>
  <c r="F203" i="1"/>
  <c r="G197" i="1"/>
  <c r="F197" i="1"/>
  <c r="F9" i="1"/>
  <c r="F13" i="1"/>
  <c r="F19" i="1"/>
  <c r="F32" i="1"/>
  <c r="C45" i="2"/>
  <c r="G51" i="1"/>
  <c r="F51" i="1"/>
  <c r="G622" i="1" s="1"/>
  <c r="C37" i="10"/>
  <c r="F40" i="2"/>
  <c r="D39" i="2"/>
  <c r="G655" i="1"/>
  <c r="F48" i="2"/>
  <c r="E48" i="2"/>
  <c r="D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09" i="1"/>
  <c r="L222" i="1"/>
  <c r="L227" i="1"/>
  <c r="L240" i="1"/>
  <c r="L245" i="1"/>
  <c r="C17" i="10"/>
  <c r="D39" i="13"/>
  <c r="F13" i="13"/>
  <c r="G13" i="13"/>
  <c r="E13" i="13" s="1"/>
  <c r="L206" i="1"/>
  <c r="L224" i="1"/>
  <c r="L242" i="1"/>
  <c r="F16" i="13"/>
  <c r="E16" i="13" s="1"/>
  <c r="C16" i="13" s="1"/>
  <c r="G16" i="13"/>
  <c r="F5" i="13"/>
  <c r="G5" i="13"/>
  <c r="L197" i="1"/>
  <c r="L198" i="1"/>
  <c r="L199" i="1"/>
  <c r="L200" i="1"/>
  <c r="L218" i="1"/>
  <c r="L236" i="1"/>
  <c r="C13" i="10"/>
  <c r="L215" i="1"/>
  <c r="L229" i="1" s="1"/>
  <c r="L216" i="1"/>
  <c r="L217" i="1"/>
  <c r="L233" i="1"/>
  <c r="L234" i="1"/>
  <c r="L235" i="1"/>
  <c r="F6" i="13"/>
  <c r="G6" i="13"/>
  <c r="D6" i="13" s="1"/>
  <c r="C6" i="13" s="1"/>
  <c r="L202" i="1"/>
  <c r="L220" i="1"/>
  <c r="L238" i="1"/>
  <c r="C118" i="2"/>
  <c r="F7" i="13"/>
  <c r="G7" i="13"/>
  <c r="L203" i="1"/>
  <c r="L221" i="1"/>
  <c r="L239" i="1"/>
  <c r="C16" i="10"/>
  <c r="F12" i="13"/>
  <c r="G12" i="13"/>
  <c r="L205" i="1"/>
  <c r="L223" i="1"/>
  <c r="L241" i="1"/>
  <c r="C121" i="2"/>
  <c r="F14" i="13"/>
  <c r="G14" i="13"/>
  <c r="L207" i="1"/>
  <c r="L225" i="1"/>
  <c r="L243" i="1"/>
  <c r="D14" i="13"/>
  <c r="C14" i="13" s="1"/>
  <c r="F15" i="13"/>
  <c r="G15" i="13"/>
  <c r="L208" i="1"/>
  <c r="F662" i="1"/>
  <c r="L226" i="1"/>
  <c r="G662" i="1"/>
  <c r="L244" i="1"/>
  <c r="H662" i="1"/>
  <c r="I662" i="1"/>
  <c r="F17" i="13"/>
  <c r="G17" i="13"/>
  <c r="L251" i="1"/>
  <c r="F18" i="13"/>
  <c r="G18" i="13"/>
  <c r="L252" i="1"/>
  <c r="F19" i="13"/>
  <c r="G19" i="13"/>
  <c r="L253" i="1"/>
  <c r="F29" i="13"/>
  <c r="G29" i="13"/>
  <c r="G661" i="1"/>
  <c r="I367" i="1"/>
  <c r="J290" i="1"/>
  <c r="J309" i="1"/>
  <c r="J328" i="1"/>
  <c r="K290" i="1"/>
  <c r="K309" i="1"/>
  <c r="K328" i="1"/>
  <c r="E109" i="2"/>
  <c r="E110" i="2"/>
  <c r="E115" i="2" s="1"/>
  <c r="E111" i="2"/>
  <c r="E112" i="2"/>
  <c r="L332" i="1"/>
  <c r="E113" i="2"/>
  <c r="L333" i="1"/>
  <c r="L334" i="1"/>
  <c r="L335" i="1"/>
  <c r="E114" i="2"/>
  <c r="C18" i="10"/>
  <c r="L260" i="1"/>
  <c r="L261" i="1"/>
  <c r="L255" i="1"/>
  <c r="L336" i="1"/>
  <c r="C11" i="13"/>
  <c r="C10" i="13"/>
  <c r="C9" i="13"/>
  <c r="B4" i="12"/>
  <c r="B36" i="12"/>
  <c r="C36" i="12"/>
  <c r="B40" i="12"/>
  <c r="C40" i="12"/>
  <c r="B27" i="12"/>
  <c r="C27" i="12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L266" i="1"/>
  <c r="J60" i="1"/>
  <c r="G56" i="2"/>
  <c r="G59" i="2"/>
  <c r="G61" i="2"/>
  <c r="F2" i="11"/>
  <c r="L613" i="1"/>
  <c r="H663" i="1"/>
  <c r="L612" i="1"/>
  <c r="L611" i="1"/>
  <c r="F663" i="1"/>
  <c r="C40" i="10"/>
  <c r="I60" i="1"/>
  <c r="I111" i="1"/>
  <c r="I112" i="1"/>
  <c r="J111" i="1"/>
  <c r="J112" i="1"/>
  <c r="I121" i="1"/>
  <c r="I136" i="1"/>
  <c r="J121" i="1"/>
  <c r="J136" i="1"/>
  <c r="I147" i="1"/>
  <c r="I162" i="1"/>
  <c r="C12" i="10"/>
  <c r="C15" i="10"/>
  <c r="C19" i="10"/>
  <c r="C21" i="10"/>
  <c r="L250" i="1"/>
  <c r="L254" i="1"/>
  <c r="C25" i="10"/>
  <c r="L268" i="1"/>
  <c r="L269" i="1"/>
  <c r="I665" i="1"/>
  <c r="I670" i="1"/>
  <c r="F661" i="1"/>
  <c r="I669" i="1"/>
  <c r="C42" i="10"/>
  <c r="C32" i="10"/>
  <c r="L374" i="1"/>
  <c r="L375" i="1"/>
  <c r="L376" i="1"/>
  <c r="L377" i="1"/>
  <c r="L378" i="1"/>
  <c r="L379" i="1"/>
  <c r="L380" i="1"/>
  <c r="B2" i="10"/>
  <c r="K351" i="1"/>
  <c r="L521" i="1"/>
  <c r="F549" i="1"/>
  <c r="L522" i="1"/>
  <c r="F550" i="1"/>
  <c r="L523" i="1"/>
  <c r="F551" i="1"/>
  <c r="L526" i="1"/>
  <c r="G549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L537" i="1"/>
  <c r="I550" i="1"/>
  <c r="L538" i="1"/>
  <c r="I551" i="1"/>
  <c r="L541" i="1"/>
  <c r="J549" i="1"/>
  <c r="L542" i="1"/>
  <c r="J550" i="1"/>
  <c r="L543" i="1"/>
  <c r="J551" i="1"/>
  <c r="E132" i="2"/>
  <c r="E131" i="2"/>
  <c r="K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E78" i="2" s="1"/>
  <c r="E81" i="2" s="1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89" i="2"/>
  <c r="C90" i="2"/>
  <c r="D88" i="2"/>
  <c r="E88" i="2"/>
  <c r="F88" i="2"/>
  <c r="D89" i="2"/>
  <c r="E89" i="2"/>
  <c r="F89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C111" i="2"/>
  <c r="C112" i="2"/>
  <c r="C113" i="2"/>
  <c r="C114" i="2"/>
  <c r="D115" i="2"/>
  <c r="F115" i="2"/>
  <c r="G115" i="2"/>
  <c r="E118" i="2"/>
  <c r="C119" i="2"/>
  <c r="E119" i="2"/>
  <c r="E120" i="2"/>
  <c r="E121" i="2"/>
  <c r="C122" i="2"/>
  <c r="E122" i="2"/>
  <c r="C123" i="2"/>
  <c r="E123" i="2"/>
  <c r="C124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164" i="2" s="1"/>
  <c r="G503" i="1"/>
  <c r="C164" i="2"/>
  <c r="H503" i="1"/>
  <c r="D164" i="2"/>
  <c r="I503" i="1"/>
  <c r="E164" i="2"/>
  <c r="J503" i="1"/>
  <c r="F164" i="2"/>
  <c r="H19" i="1"/>
  <c r="G619" i="1"/>
  <c r="I19" i="1"/>
  <c r="G617" i="1"/>
  <c r="G52" i="1"/>
  <c r="H618" i="1"/>
  <c r="H32" i="1"/>
  <c r="I32" i="1"/>
  <c r="H51" i="1"/>
  <c r="H52" i="1"/>
  <c r="H619" i="1"/>
  <c r="I51" i="1"/>
  <c r="I52" i="1"/>
  <c r="H620" i="1"/>
  <c r="I177" i="1"/>
  <c r="I183" i="1"/>
  <c r="J183" i="1"/>
  <c r="J192" i="1"/>
  <c r="I188" i="1"/>
  <c r="F211" i="1"/>
  <c r="F229" i="1"/>
  <c r="F247" i="1"/>
  <c r="F256" i="1"/>
  <c r="F257" i="1"/>
  <c r="F271" i="1"/>
  <c r="G211" i="1"/>
  <c r="H211" i="1"/>
  <c r="I211" i="1"/>
  <c r="K211" i="1"/>
  <c r="G229" i="1"/>
  <c r="H229" i="1"/>
  <c r="I229" i="1"/>
  <c r="K229" i="1"/>
  <c r="G247" i="1"/>
  <c r="H247" i="1"/>
  <c r="I247" i="1"/>
  <c r="K247" i="1"/>
  <c r="G256" i="1"/>
  <c r="H256" i="1"/>
  <c r="I256" i="1"/>
  <c r="K256" i="1"/>
  <c r="L256" i="1"/>
  <c r="L270" i="1"/>
  <c r="F290" i="1"/>
  <c r="G290" i="1"/>
  <c r="G309" i="1"/>
  <c r="G328" i="1"/>
  <c r="G338" i="1"/>
  <c r="G352" i="1"/>
  <c r="H290" i="1"/>
  <c r="I290" i="1"/>
  <c r="F309" i="1"/>
  <c r="H309" i="1"/>
  <c r="I309" i="1"/>
  <c r="F328" i="1"/>
  <c r="H328" i="1"/>
  <c r="I328" i="1"/>
  <c r="J338" i="1"/>
  <c r="J352" i="1"/>
  <c r="K338" i="1"/>
  <c r="K352" i="1"/>
  <c r="F362" i="1"/>
  <c r="G362" i="1"/>
  <c r="H362" i="1"/>
  <c r="I362" i="1"/>
  <c r="G634" i="1"/>
  <c r="J362" i="1"/>
  <c r="K362" i="1"/>
  <c r="I368" i="1"/>
  <c r="I369" i="1"/>
  <c r="H634" i="1"/>
  <c r="F369" i="1"/>
  <c r="G369" i="1"/>
  <c r="H369" i="1"/>
  <c r="L381" i="1"/>
  <c r="L382" i="1"/>
  <c r="G636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/>
  <c r="G645" i="1"/>
  <c r="J645" i="1"/>
  <c r="H408" i="1"/>
  <c r="I408" i="1"/>
  <c r="F419" i="1"/>
  <c r="G419" i="1"/>
  <c r="H419" i="1"/>
  <c r="I419" i="1"/>
  <c r="J419" i="1"/>
  <c r="F427" i="1"/>
  <c r="G427" i="1"/>
  <c r="H427" i="1"/>
  <c r="I427" i="1"/>
  <c r="J427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H639" i="1"/>
  <c r="G639" i="1"/>
  <c r="J639" i="1"/>
  <c r="G461" i="1"/>
  <c r="H461" i="1"/>
  <c r="H641" i="1"/>
  <c r="I461" i="1"/>
  <c r="F470" i="1"/>
  <c r="G470" i="1"/>
  <c r="H470" i="1"/>
  <c r="H474" i="1"/>
  <c r="H476" i="1"/>
  <c r="H624" i="1"/>
  <c r="I470" i="1"/>
  <c r="J470" i="1"/>
  <c r="G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I529" i="1"/>
  <c r="I534" i="1"/>
  <c r="I539" i="1"/>
  <c r="I544" i="1"/>
  <c r="I545" i="1"/>
  <c r="J524" i="1"/>
  <c r="K524" i="1"/>
  <c r="L524" i="1"/>
  <c r="F529" i="1"/>
  <c r="G529" i="1"/>
  <c r="H529" i="1"/>
  <c r="J529" i="1"/>
  <c r="K529" i="1"/>
  <c r="L529" i="1"/>
  <c r="F534" i="1"/>
  <c r="G534" i="1"/>
  <c r="G539" i="1"/>
  <c r="G544" i="1"/>
  <c r="G545" i="1"/>
  <c r="H534" i="1"/>
  <c r="J534" i="1"/>
  <c r="K534" i="1"/>
  <c r="L534" i="1"/>
  <c r="F539" i="1"/>
  <c r="H539" i="1"/>
  <c r="H544" i="1"/>
  <c r="H545" i="1"/>
  <c r="J539" i="1"/>
  <c r="K539" i="1"/>
  <c r="L539" i="1"/>
  <c r="F544" i="1"/>
  <c r="J544" i="1"/>
  <c r="K544" i="1"/>
  <c r="L544" i="1"/>
  <c r="L557" i="1"/>
  <c r="L558" i="1"/>
  <c r="L559" i="1"/>
  <c r="L560" i="1"/>
  <c r="F560" i="1"/>
  <c r="G560" i="1"/>
  <c r="H560" i="1"/>
  <c r="I560" i="1"/>
  <c r="J560" i="1"/>
  <c r="K560" i="1"/>
  <c r="K565" i="1"/>
  <c r="K570" i="1"/>
  <c r="K571" i="1"/>
  <c r="L562" i="1"/>
  <c r="L563" i="1"/>
  <c r="L564" i="1"/>
  <c r="F565" i="1"/>
  <c r="G565" i="1"/>
  <c r="H565" i="1"/>
  <c r="I565" i="1"/>
  <c r="J565" i="1"/>
  <c r="J570" i="1"/>
  <c r="J571" i="1"/>
  <c r="L567" i="1"/>
  <c r="L568" i="1"/>
  <c r="L569" i="1"/>
  <c r="L570" i="1"/>
  <c r="F570" i="1"/>
  <c r="G570" i="1"/>
  <c r="H570" i="1"/>
  <c r="I570" i="1"/>
  <c r="I571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K604" i="1"/>
  <c r="K605" i="1"/>
  <c r="G648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3" i="1"/>
  <c r="G625" i="1"/>
  <c r="H627" i="1"/>
  <c r="H628" i="1"/>
  <c r="H629" i="1"/>
  <c r="H630" i="1"/>
  <c r="H631" i="1"/>
  <c r="H633" i="1"/>
  <c r="H635" i="1"/>
  <c r="H636" i="1"/>
  <c r="H637" i="1"/>
  <c r="H638" i="1"/>
  <c r="G640" i="1"/>
  <c r="H640" i="1"/>
  <c r="G641" i="1"/>
  <c r="J641" i="1"/>
  <c r="G642" i="1"/>
  <c r="H642" i="1"/>
  <c r="G643" i="1"/>
  <c r="H643" i="1"/>
  <c r="J643" i="1"/>
  <c r="G644" i="1"/>
  <c r="H644" i="1"/>
  <c r="G649" i="1"/>
  <c r="J649" i="1"/>
  <c r="G650" i="1"/>
  <c r="G651" i="1"/>
  <c r="G652" i="1"/>
  <c r="H652" i="1"/>
  <c r="G653" i="1"/>
  <c r="H653" i="1"/>
  <c r="G654" i="1"/>
  <c r="H654" i="1"/>
  <c r="H655" i="1"/>
  <c r="J655" i="1"/>
  <c r="I257" i="1"/>
  <c r="I271" i="1"/>
  <c r="C26" i="10"/>
  <c r="C70" i="2"/>
  <c r="D12" i="13"/>
  <c r="C12" i="13" s="1"/>
  <c r="D62" i="2"/>
  <c r="D63" i="2" s="1"/>
  <c r="D18" i="13"/>
  <c r="C18" i="13" s="1"/>
  <c r="D18" i="2"/>
  <c r="C78" i="2"/>
  <c r="F18" i="2"/>
  <c r="D91" i="2"/>
  <c r="G62" i="2"/>
  <c r="G63" i="2" s="1"/>
  <c r="I169" i="1"/>
  <c r="G552" i="1"/>
  <c r="J644" i="1"/>
  <c r="J476" i="1"/>
  <c r="H626" i="1"/>
  <c r="I476" i="1"/>
  <c r="H625" i="1"/>
  <c r="J625" i="1"/>
  <c r="J140" i="1"/>
  <c r="F571" i="1"/>
  <c r="I552" i="1"/>
  <c r="K549" i="1"/>
  <c r="K550" i="1"/>
  <c r="G22" i="2"/>
  <c r="K545" i="1"/>
  <c r="J552" i="1"/>
  <c r="H552" i="1"/>
  <c r="C29" i="10"/>
  <c r="C139" i="2"/>
  <c r="F22" i="13"/>
  <c r="H25" i="13"/>
  <c r="C25" i="13" s="1"/>
  <c r="J651" i="1"/>
  <c r="J640" i="1"/>
  <c r="H571" i="1"/>
  <c r="J545" i="1"/>
  <c r="H338" i="1"/>
  <c r="H352" i="1"/>
  <c r="F338" i="1"/>
  <c r="F352" i="1"/>
  <c r="F552" i="1"/>
  <c r="C35" i="10"/>
  <c r="J636" i="1"/>
  <c r="G36" i="2"/>
  <c r="L565" i="1"/>
  <c r="L545" i="1"/>
  <c r="K551" i="1"/>
  <c r="C22" i="13"/>
  <c r="C138" i="2"/>
  <c r="G476" i="1"/>
  <c r="H623" i="1"/>
  <c r="J623" i="1"/>
  <c r="K598" i="1"/>
  <c r="G647" i="1"/>
  <c r="H647" i="1"/>
  <c r="J647" i="1"/>
  <c r="J634" i="1"/>
  <c r="D127" i="2"/>
  <c r="D128" i="2" s="1"/>
  <c r="H661" i="1"/>
  <c r="I661" i="1"/>
  <c r="C20" i="10"/>
  <c r="C120" i="2"/>
  <c r="E8" i="13"/>
  <c r="C8" i="13" s="1"/>
  <c r="D7" i="13"/>
  <c r="C7" i="13" s="1"/>
  <c r="C11" i="10"/>
  <c r="C10" i="10"/>
  <c r="H257" i="1"/>
  <c r="H271" i="1" s="1"/>
  <c r="L247" i="1"/>
  <c r="H660" i="1" s="1"/>
  <c r="H664" i="1" s="1"/>
  <c r="K257" i="1"/>
  <c r="K271" i="1"/>
  <c r="G257" i="1"/>
  <c r="G271" i="1"/>
  <c r="D5" i="13"/>
  <c r="C109" i="2"/>
  <c r="C62" i="2"/>
  <c r="C81" i="2"/>
  <c r="G624" i="1"/>
  <c r="J624" i="1"/>
  <c r="K500" i="1"/>
  <c r="L211" i="1"/>
  <c r="K552" i="1"/>
  <c r="F62" i="2"/>
  <c r="F63" i="2" s="1"/>
  <c r="C23" i="10"/>
  <c r="G162" i="2"/>
  <c r="G103" i="2"/>
  <c r="C103" i="2"/>
  <c r="E50" i="2"/>
  <c r="F31" i="2"/>
  <c r="E18" i="2"/>
  <c r="F50" i="2"/>
  <c r="F51" i="2" s="1"/>
  <c r="G633" i="1"/>
  <c r="J633" i="1"/>
  <c r="C24" i="10"/>
  <c r="G31" i="13"/>
  <c r="D31" i="13" s="1"/>
  <c r="C31" i="13" s="1"/>
  <c r="I338" i="1"/>
  <c r="I352" i="1"/>
  <c r="J650" i="1"/>
  <c r="C140" i="2"/>
  <c r="C141" i="2" s="1"/>
  <c r="L571" i="1"/>
  <c r="I192" i="1"/>
  <c r="E91" i="2"/>
  <c r="G637" i="1"/>
  <c r="J637" i="1"/>
  <c r="J654" i="1"/>
  <c r="J653" i="1"/>
  <c r="G21" i="2"/>
  <c r="G31" i="2" s="1"/>
  <c r="J32" i="1"/>
  <c r="G638" i="1"/>
  <c r="J638" i="1"/>
  <c r="J434" i="1"/>
  <c r="F434" i="1"/>
  <c r="K434" i="1"/>
  <c r="G134" i="2"/>
  <c r="G144" i="2" s="1"/>
  <c r="G145" i="2" s="1"/>
  <c r="F31" i="13"/>
  <c r="J193" i="1"/>
  <c r="G646" i="1"/>
  <c r="G629" i="1"/>
  <c r="J629" i="1"/>
  <c r="C39" i="10"/>
  <c r="G627" i="1"/>
  <c r="J627" i="1"/>
  <c r="C36" i="10"/>
  <c r="J618" i="1"/>
  <c r="G42" i="2"/>
  <c r="J51" i="1"/>
  <c r="G16" i="2"/>
  <c r="J19" i="1"/>
  <c r="G621" i="1"/>
  <c r="G18" i="2"/>
  <c r="F545" i="1"/>
  <c r="H434" i="1"/>
  <c r="J620" i="1"/>
  <c r="J619" i="1"/>
  <c r="I140" i="1"/>
  <c r="I193" i="1"/>
  <c r="G630" i="1"/>
  <c r="J630" i="1"/>
  <c r="H646" i="1"/>
  <c r="H648" i="1"/>
  <c r="J648" i="1"/>
  <c r="J652" i="1"/>
  <c r="J642" i="1"/>
  <c r="G571" i="1"/>
  <c r="I434" i="1"/>
  <c r="G434" i="1"/>
  <c r="C27" i="10"/>
  <c r="G635" i="1"/>
  <c r="J635" i="1"/>
  <c r="C6" i="10"/>
  <c r="C5" i="10"/>
  <c r="F660" i="1"/>
  <c r="F664" i="1" s="1"/>
  <c r="G631" i="1"/>
  <c r="J631" i="1"/>
  <c r="J646" i="1"/>
  <c r="G628" i="1"/>
  <c r="J628" i="1"/>
  <c r="G626" i="1"/>
  <c r="J626" i="1"/>
  <c r="J52" i="1"/>
  <c r="H621" i="1"/>
  <c r="J621" i="1"/>
  <c r="C38" i="10"/>
  <c r="F52" i="1" l="1"/>
  <c r="H617" i="1" s="1"/>
  <c r="J617" i="1" s="1"/>
  <c r="G163" i="2"/>
  <c r="G157" i="2"/>
  <c r="E128" i="2"/>
  <c r="D81" i="2"/>
  <c r="D104" i="2" s="1"/>
  <c r="E62" i="2"/>
  <c r="E63" i="2" s="1"/>
  <c r="D50" i="2"/>
  <c r="C31" i="2"/>
  <c r="C144" i="2"/>
  <c r="D29" i="13"/>
  <c r="C29" i="13" s="1"/>
  <c r="D17" i="13"/>
  <c r="C17" i="13" s="1"/>
  <c r="G50" i="2"/>
  <c r="G51" i="2" s="1"/>
  <c r="G160" i="2"/>
  <c r="G156" i="2"/>
  <c r="F91" i="2"/>
  <c r="C128" i="2"/>
  <c r="F33" i="13"/>
  <c r="E144" i="2"/>
  <c r="D103" i="2"/>
  <c r="E103" i="2"/>
  <c r="F103" i="2"/>
  <c r="F78" i="2"/>
  <c r="C63" i="2"/>
  <c r="E31" i="2"/>
  <c r="E51" i="2" s="1"/>
  <c r="D31" i="2"/>
  <c r="C18" i="2"/>
  <c r="A31" i="12"/>
  <c r="A40" i="12"/>
  <c r="D19" i="13"/>
  <c r="C19" i="13" s="1"/>
  <c r="D15" i="13"/>
  <c r="C15" i="13" s="1"/>
  <c r="C41" i="10"/>
  <c r="D36" i="10" s="1"/>
  <c r="G161" i="2"/>
  <c r="G159" i="2"/>
  <c r="G158" i="2"/>
  <c r="C91" i="2"/>
  <c r="G81" i="2"/>
  <c r="G104" i="2" s="1"/>
  <c r="F81" i="2"/>
  <c r="F104" i="2" s="1"/>
  <c r="D145" i="2"/>
  <c r="D37" i="10"/>
  <c r="D40" i="10"/>
  <c r="D38" i="10"/>
  <c r="C13" i="13"/>
  <c r="E33" i="13"/>
  <c r="D35" i="13" s="1"/>
  <c r="D35" i="10"/>
  <c r="C115" i="2"/>
  <c r="C28" i="10"/>
  <c r="D21" i="10" s="1"/>
  <c r="F144" i="2"/>
  <c r="F145" i="2" s="1"/>
  <c r="D33" i="13"/>
  <c r="D36" i="13" s="1"/>
  <c r="H33" i="13"/>
  <c r="G33" i="13"/>
  <c r="C50" i="2"/>
  <c r="I663" i="1"/>
  <c r="H672" i="1"/>
  <c r="H667" i="1"/>
  <c r="C5" i="13"/>
  <c r="G660" i="1"/>
  <c r="G664" i="1" s="1"/>
  <c r="L257" i="1"/>
  <c r="L271" i="1" s="1"/>
  <c r="G632" i="1" s="1"/>
  <c r="I575" i="1"/>
  <c r="F667" i="1"/>
  <c r="F672" i="1"/>
  <c r="C4" i="10" s="1"/>
  <c r="D23" i="10"/>
  <c r="D25" i="10"/>
  <c r="D12" i="10"/>
  <c r="D22" i="10"/>
  <c r="D24" i="10"/>
  <c r="D26" i="10"/>
  <c r="D27" i="10"/>
  <c r="D17" i="10"/>
  <c r="D15" i="10"/>
  <c r="D11" i="10"/>
  <c r="D19" i="10"/>
  <c r="D10" i="10"/>
  <c r="D20" i="10"/>
  <c r="C30" i="10"/>
  <c r="I660" i="1"/>
  <c r="E145" i="2" l="1"/>
  <c r="D16" i="10"/>
  <c r="D18" i="10"/>
  <c r="D13" i="10"/>
  <c r="C51" i="2"/>
  <c r="D39" i="10"/>
  <c r="D51" i="2"/>
  <c r="E104" i="2"/>
  <c r="C145" i="2"/>
  <c r="C104" i="2"/>
  <c r="D41" i="10"/>
  <c r="I664" i="1"/>
  <c r="I667" i="1" s="1"/>
  <c r="F472" i="1"/>
  <c r="H632" i="1" s="1"/>
  <c r="J632" i="1" s="1"/>
  <c r="G672" i="1"/>
  <c r="G667" i="1"/>
  <c r="D28" i="10"/>
  <c r="F474" i="1"/>
  <c r="F476" i="1" s="1"/>
  <c r="H622" i="1" s="1"/>
  <c r="J622" i="1" s="1"/>
  <c r="I672" i="1" l="1"/>
  <c r="C7" i="10" s="1"/>
  <c r="H656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<sst xmlns="http://schemas.openxmlformats.org/spreadsheetml/2006/main" count="3955" uniqueCount="913">
  <si>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</si>
  <si>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</si>
  <si>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</si>
  <si>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</si>
  <si>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</si>
  <si>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</si>
  <si>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</si>
  <si>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</si>
  <si>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</si>
  <si>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</si>
  <si>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</si>
  <si>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</si>
  <si>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</si>
  <si>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</si>
  <si>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</si>
  <si>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</si>
  <si>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</si>
  <si>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</si>
  <si>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</si>
  <si>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</si>
  <si>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</si>
  <si>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</si>
  <si>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</si>
  <si>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</si>
  <si>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</si>
  <si>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</si>
  <si>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</si>
  <si>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</si>
  <si>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</si>
  <si>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</si>
  <si>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</si>
  <si>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</si>
  <si>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</si>
  <si>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</si>
  <si>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</si>
  <si>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</si>
  <si>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</si>
  <si>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</si>
  <si>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</si>
  <si>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</si>
  <si>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</si>
  <si>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</si>
  <si>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</si>
  <si>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</si>
  <si>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</si>
  <si>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</si>
  <si>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</si>
  <si>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</si>
  <si>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</si>
  <si>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</si>
  <si>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</si>
  <si>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</si>
  <si>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</si>
  <si>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</si>
  <si>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</si>
  <si>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</si>
  <si>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</si>
  <si>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</si>
  <si>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</si>
  <si>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</si>
  <si>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</si>
  <si>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</si>
  <si>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</si>
  <si>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</si>
  <si>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</si>
  <si>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</si>
  <si>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</si>
  <si>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</si>
  <si>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</si>
  <si>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</si>
  <si>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</si>
  <si>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</si>
  <si>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</si>
  <si>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</si>
  <si>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</si>
  <si>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</si>
  <si>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</si>
  <si>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</si>
  <si>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</si>
  <si>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</si>
  <si>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</si>
  <si>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</si>
  <si>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</si>
  <si>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</si>
  <si>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</si>
  <si>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</si>
  <si>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</si>
  <si>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</si>
  <si>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</si>
  <si>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</si>
  <si>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</si>
  <si>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</si>
  <si>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</si>
  <si>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</si>
  <si>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</si>
  <si>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</si>
  <si>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</si>
  <si>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</si>
  <si>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</si>
  <si>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</si>
  <si>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</si>
  <si>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</si>
  <si>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</si>
  <si>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</si>
  <si>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</si>
  <si>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</si>
  <si>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</si>
  <si>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</si>
  <si>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</si>
  <si>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</si>
  <si>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</si>
  <si>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</si>
  <si>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</si>
  <si>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</si>
  <si>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</si>
  <si>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</si>
  <si>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</si>
  <si>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</si>
  <si>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</si>
  <si>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</si>
  <si>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</si>
  <si>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</si>
  <si>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</si>
  <si>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</si>
  <si>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</si>
  <si>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</si>
  <si>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</si>
  <si>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</si>
  <si>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</si>
  <si>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</si>
  <si>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</si>
  <si>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</si>
  <si>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</si>
  <si>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</si>
  <si>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</si>
  <si>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</si>
  <si>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</si>
  <si>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</si>
  <si>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</si>
  <si>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</si>
  <si>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</si>
  <si>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</si>
  <si>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</si>
  <si>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</si>
  <si>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</si>
  <si>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</si>
  <si>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</si>
  <si>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</si>
  <si>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</si>
  <si>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</si>
  <si>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</si>
  <si>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</si>
  <si>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</si>
  <si>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</si>
  <si>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</si>
  <si>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</si>
  <si>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</si>
  <si>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</si>
  <si>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</si>
  <si>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</si>
  <si>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</si>
  <si>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</si>
  <si>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</si>
  <si>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</si>
  <si>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</si>
  <si>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</si>
  <si>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</si>
  <si>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</si>
  <si>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</si>
  <si>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</si>
  <si>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</si>
  <si>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</si>
  <si>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</si>
  <si>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</si>
  <si>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</si>
  <si>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</si>
  <si>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</si>
  <si>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</si>
  <si>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</si>
  <si>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</si>
  <si>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</si>
  <si>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</si>
  <si>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</si>
  <si>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</si>
  <si>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</si>
  <si>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</si>
  <si>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</si>
  <si>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</si>
  <si>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</si>
  <si>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</si>
  <si>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</si>
  <si>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</si>
  <si>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</si>
  <si>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</si>
  <si>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</si>
  <si>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</si>
  <si>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</si>
  <si>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</si>
  <si>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</si>
  <si>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</si>
  <si>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</si>
  <si>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</si>
  <si>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</si>
  <si>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</si>
  <si>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</si>
  <si>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</si>
  <si>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</si>
  <si>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</si>
  <si>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</si>
  <si>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</si>
  <si>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</si>
  <si>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</si>
  <si>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</si>
  <si>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</si>
  <si>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</si>
  <si>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</si>
  <si>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</si>
  <si>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</si>
  <si>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</si>
  <si>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</si>
  <si>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</si>
  <si>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</si>
  <si>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</si>
  <si>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</si>
  <si>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</si>
  <si>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</si>
  <si>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</si>
  <si>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</si>
  <si>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</si>
  <si>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</si>
  <si>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</si>
  <si>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</si>
  <si>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</si>
  <si>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</si>
  <si>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</si>
  <si>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</si>
  <si>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</si>
  <si>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</si>
  <si>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</si>
  <si>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</si>
  <si>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</si>
  <si>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</si>
  <si>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</si>
  <si>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</si>
  <si>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</si>
  <si>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</si>
  <si>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</si>
  <si>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</si>
  <si>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</si>
  <si>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</si>
  <si>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</si>
  <si>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</si>
  <si>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</si>
  <si>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</si>
  <si>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</si>
  <si>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</si>
  <si>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</si>
  <si>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</si>
  <si>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</si>
  <si>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</si>
  <si>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</si>
  <si>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</si>
  <si>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</si>
  <si>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</si>
  <si>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</si>
  <si>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</si>
  <si>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</si>
  <si>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</si>
  <si>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</si>
  <si>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</si>
  <si>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</si>
  <si>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</si>
  <si>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</si>
  <si>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</si>
  <si>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</si>
  <si>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</si>
  <si>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</si>
  <si>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</si>
  <si>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</si>
  <si>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</si>
  <si>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</si>
  <si>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</si>
  <si>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</si>
  <si>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</si>
  <si>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</si>
  <si>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</si>
  <si>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</si>
  <si>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</si>
  <si>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</si>
  <si>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</si>
  <si>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</si>
  <si>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</si>
  <si>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</si>
  <si>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</si>
  <si>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</si>
  <si>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</si>
  <si>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</si>
  <si>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</si>
  <si>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</si>
  <si>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</si>
  <si>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</si>
  <si>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</si>
  <si>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</si>
  <si>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</si>
  <si>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</si>
  <si>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</si>
  <si>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</si>
  <si>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</si>
  <si>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</si>
  <si>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</si>
  <si>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</si>
  <si>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</si>
  <si>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</si>
  <si>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</si>
  <si>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</si>
  <si>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</si>
  <si>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</si>
  <si>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</si>
  <si>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</si>
  <si>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</si>
  <si>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</si>
  <si>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</si>
  <si>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</si>
  <si>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</si>
  <si>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</si>
  <si>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</si>
  <si>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</si>
  <si>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</si>
  <si>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</si>
  <si>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</si>
  <si>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</si>
  <si>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</si>
  <si>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</si>
  <si>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</si>
  <si>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</si>
  <si>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</si>
  <si>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</si>
  <si>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</si>
  <si>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</si>
  <si>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</si>
  <si>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</si>
  <si>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</si>
  <si>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</si>
  <si>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</si>
  <si>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</si>
  <si>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</si>
  <si>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</si>
  <si>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</si>
  <si>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</si>
  <si>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</si>
  <si>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</si>
  <si>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</si>
  <si>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</si>
  <si>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</si>
  <si>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</si>
  <si>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</si>
  <si>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</si>
  <si>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</si>
  <si>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</si>
  <si>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</si>
  <si>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</si>
  <si>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</si>
  <si>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</si>
  <si>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</si>
  <si>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</si>
  <si>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</si>
  <si>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</si>
  <si>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</si>
  <si>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</si>
  <si>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</si>
  <si>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</si>
  <si>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</si>
  <si>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</si>
  <si>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</si>
  <si>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</si>
  <si>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</si>
  <si>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</si>
  <si>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</si>
  <si>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</si>
  <si>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</si>
  <si>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</si>
  <si>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</si>
  <si>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</si>
  <si>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</si>
  <si>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</si>
  <si>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</si>
  <si>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</si>
  <si>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</si>
  <si>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</si>
  <si>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</si>
  <si>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</si>
  <si>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</si>
  <si>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</si>
  <si>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</si>
  <si>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</si>
  <si>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</si>
  <si>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</si>
  <si>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</si>
  <si>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</si>
  <si>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</si>
  <si>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</si>
  <si>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</si>
  <si>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</si>
  <si>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</si>
  <si>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</si>
  <si>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</si>
  <si>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</si>
  <si>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</si>
  <si>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</si>
  <si>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</si>
  <si>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</si>
  <si>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</si>
  <si>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</si>
  <si>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</si>
  <si>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</si>
  <si>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</si>
  <si>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</si>
  <si>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</si>
  <si>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</si>
  <si>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</si>
  <si>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</si>
  <si>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</si>
  <si>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</si>
  <si>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</si>
  <si>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</si>
  <si>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</si>
  <si>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</si>
  <si>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</si>
  <si>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</si>
  <si>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</si>
  <si>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</si>
  <si>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</si>
  <si>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</si>
  <si>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</si>
  <si>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</si>
  <si>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</si>
  <si>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</si>
  <si>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</si>
  <si>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</si>
  <si>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</si>
  <si>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</si>
  <si>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</si>
  <si>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</si>
  <si>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</si>
  <si>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</si>
  <si>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</si>
  <si>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</si>
  <si>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</si>
  <si>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</si>
  <si>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</si>
  <si>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</si>
  <si>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</si>
  <si>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</si>
  <si>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</si>
  <si>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</si>
  <si>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</si>
  <si>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</si>
  <si>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</si>
  <si>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</si>
  <si>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</si>
  <si>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</si>
  <si>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</si>
  <si>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</si>
  <si>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</si>
  <si>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</si>
  <si>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</si>
  <si>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</si>
  <si>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</si>
  <si>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</si>
  <si>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</si>
  <si>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</si>
  <si>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</si>
  <si>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</si>
  <si>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</si>
  <si>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</si>
  <si>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</si>
  <si>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</si>
  <si>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</si>
  <si>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</si>
  <si>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</si>
  <si>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</si>
  <si>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</si>
  <si>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</si>
  <si>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</si>
  <si>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</si>
  <si>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</si>
  <si>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</si>
  <si>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</si>
  <si>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</si>
  <si>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</si>
  <si>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</si>
  <si>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</si>
  <si>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</si>
  <si>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</si>
  <si>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</si>
  <si>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</si>
  <si>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</si>
  <si>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</si>
  <si>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</si>
  <si>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</si>
  <si>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</si>
  <si>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</si>
  <si>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</si>
  <si>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</si>
  <si>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</si>
  <si>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</si>
  <si>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</si>
  <si>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</si>
  <si>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</si>
  <si>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</si>
  <si>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</si>
  <si>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</si>
  <si>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</si>
  <si>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</si>
  <si>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</si>
  <si>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</si>
  <si>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</si>
  <si>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</si>
  <si>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</si>
  <si>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</si>
  <si>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</si>
  <si>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</si>
  <si>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</si>
  <si>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</si>
  <si>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</si>
  <si>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</si>
  <si>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</si>
  <si>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</si>
  <si>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</si>
  <si>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</si>
  <si>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</si>
  <si>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</si>
  <si>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</si>
  <si>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</si>
  <si>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</si>
  <si>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</si>
  <si>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</si>
  <si>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</si>
  <si>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</si>
  <si>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</si>
  <si>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</si>
  <si>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</si>
  <si>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</si>
  <si>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</si>
  <si>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</si>
  <si>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</si>
  <si>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</si>
  <si>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</si>
  <si>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</si>
  <si>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</si>
  <si>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</si>
  <si>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</si>
  <si>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</si>
  <si>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</si>
  <si>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</si>
  <si>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</si>
  <si>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</si>
  <si>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</si>
  <si>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</si>
  <si>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</si>
  <si>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</si>
  <si>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</si>
  <si>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</si>
  <si>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</si>
  <si>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</si>
  <si>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</si>
  <si>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</si>
  <si>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</si>
  <si>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</si>
  <si>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</si>
  <si>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</si>
  <si>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</si>
  <si>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</si>
  <si>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</si>
  <si>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</si>
  <si>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</si>
  <si>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</si>
  <si>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</si>
  <si>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</si>
  <si>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</si>
  <si>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</si>
  <si>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</si>
  <si>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</si>
  <si>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</si>
  <si>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</si>
  <si>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</si>
  <si>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</si>
  <si>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</si>
  <si>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</si>
  <si>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</si>
  <si>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</si>
  <si>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</si>
  <si>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</si>
  <si>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</si>
  <si>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</si>
  <si>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</si>
  <si>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</si>
  <si>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</si>
  <si>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</si>
  <si>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</si>
  <si>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</si>
  <si>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</si>
  <si>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</si>
  <si>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</si>
  <si>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</si>
  <si>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</si>
  <si>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</si>
  <si>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</si>
  <si>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</si>
  <si>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</si>
  <si>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</si>
  <si>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</si>
  <si>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</si>
  <si>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</si>
  <si>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</si>
  <si>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</si>
  <si>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</si>
  <si>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</si>
  <si>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</si>
  <si>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</si>
  <si>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</si>
  <si>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</si>
  <si>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</si>
  <si>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</si>
  <si>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</si>
  <si>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</si>
  <si>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</si>
  <si>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</si>
  <si>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</si>
  <si>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</si>
  <si>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</si>
  <si>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</si>
  <si>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</si>
  <si>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</si>
  <si>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</si>
  <si>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</si>
  <si>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</si>
  <si>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</si>
  <si>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</si>
  <si>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</si>
  <si>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</si>
  <si>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</si>
  <si>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</si>
  <si>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</si>
  <si>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</si>
  <si>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</si>
  <si>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</si>
  <si>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</si>
  <si>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</si>
  <si>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</si>
  <si>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</si>
  <si>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</si>
  <si>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</si>
  <si>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</si>
  <si>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</si>
  <si>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</si>
  <si>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</si>
  <si>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</si>
  <si>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</si>
  <si>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</si>
  <si>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</si>
  <si>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</si>
  <si>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</si>
  <si>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</si>
  <si>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</si>
  <si>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</si>
  <si>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</si>
  <si>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</si>
  <si>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</si>
  <si>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</si>
  <si>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</si>
  <si>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</si>
  <si>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</si>
  <si>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</si>
  <si>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</si>
  <si>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</si>
  <si>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</si>
  <si>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</si>
  <si>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</si>
  <si>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</si>
  <si>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</si>
  <si>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</si>
  <si>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</si>
  <si>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</si>
  <si>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</si>
  <si>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</si>
  <si>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</si>
  <si>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</si>
  <si>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</si>
  <si>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</si>
  <si>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</si>
  <si>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</si>
  <si>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</si>
  <si>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</si>
  <si>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</si>
  <si>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</si>
  <si>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</si>
  <si>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</si>
  <si>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</si>
  <si>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</si>
  <si>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</si>
  <si>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</si>
  <si>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</si>
  <si>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</si>
  <si>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</si>
  <si>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</si>
  <si>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</si>
  <si>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</si>
  <si>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</si>
  <si>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</si>
  <si>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</si>
  <si>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</si>
  <si>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</si>
  <si>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</si>
  <si>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</si>
  <si>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</si>
  <si>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</si>
  <si>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</si>
  <si>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</si>
  <si>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</si>
  <si>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</si>
  <si>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</si>
  <si>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</si>
  <si>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</si>
  <si>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</si>
  <si>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</si>
  <si>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</si>
  <si>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</si>
  <si>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</si>
  <si>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</si>
  <si>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</si>
  <si>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</si>
  <si>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</si>
  <si>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</si>
  <si>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</si>
  <si>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</si>
  <si>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</si>
  <si>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</si>
  <si>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</si>
  <si>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</si>
  <si>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</si>
  <si>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</si>
  <si>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</si>
  <si>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</si>
  <si>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</si>
  <si>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</si>
  <si>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</si>
  <si>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</si>
  <si>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</si>
  <si>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</si>
  <si>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</si>
  <si>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</si>
  <si>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</si>
  <si>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</si>
  <si>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</si>
  <si>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</si>
  <si>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</si>
  <si>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</si>
  <si>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</si>
  <si>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</si>
  <si>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</si>
  <si>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</si>
  <si>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</si>
  <si>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</si>
  <si>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</si>
  <si>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</si>
  <si>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</si>
  <si>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</si>
  <si>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</si>
  <si>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</si>
  <si>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</si>
  <si>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</si>
  <si>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</si>
  <si>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</si>
  <si>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</si>
  <si>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</si>
  <si>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</si>
  <si>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</si>
  <si>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</si>
  <si>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</si>
  <si>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</si>
  <si>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</si>
  <si>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</si>
  <si>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</si>
  <si>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</si>
  <si>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</si>
  <si>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</si>
  <si>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</si>
  <si>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</si>
  <si>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</si>
  <si>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</si>
  <si>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</si>
  <si>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</si>
  <si>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</si>
  <si>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</si>
  <si>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</si>
  <si>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</si>
  <si>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</si>
  <si>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</si>
  <si>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</si>
  <si>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</si>
  <si>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</si>
  <si>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</si>
  <si>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</si>
  <si>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</si>
  <si>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</si>
  <si>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</si>
  <si>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</si>
  <si>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</si>
  <si>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</si>
  <si>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</si>
  <si>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</si>
  <si>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</si>
  <si>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</si>
  <si>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</si>
  <si>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</si>
  <si>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</si>
  <si>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</si>
  <si>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</si>
  <si>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</si>
  <si>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</si>
  <si>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</si>
  <si>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</si>
  <si>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</si>
  <si>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</si>
  <si>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</si>
  <si>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</si>
  <si>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</si>
  <si>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</si>
  <si>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</si>
  <si>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</si>
  <si>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</si>
  <si>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</si>
  <si>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</si>
  <si>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</si>
  <si>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</si>
  <si>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</si>
  <si>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</si>
  <si>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</si>
  <si>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</si>
  <si>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</si>
  <si>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</si>
  <si>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</si>
  <si>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</si>
  <si>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</si>
  <si>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</si>
  <si>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</si>
  <si>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</si>
  <si>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</si>
  <si>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</si>
  <si>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</si>
  <si>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</si>
  <si>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</si>
  <si>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</si>
  <si>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</si>
  <si>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</si>
  <si>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</si>
  <si>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</si>
  <si>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</si>
  <si>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</si>
  <si>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</si>
  <si>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</si>
  <si>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</si>
  <si>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</si>
  <si>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</si>
  <si>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</si>
  <si>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</si>
  <si>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</si>
  <si>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</si>
  <si>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</si>
  <si>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</si>
  <si>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</si>
  <si>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</si>
  <si>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</si>
  <si>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</si>
  <si>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</si>
  <si>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</si>
  <si>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</si>
  <si>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</si>
  <si>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</si>
  <si>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</si>
  <si>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</si>
  <si>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</si>
  <si>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</si>
  <si>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</si>
  <si>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</si>
  <si>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</si>
  <si>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</si>
  <si>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</si>
  <si>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</si>
  <si>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</si>
  <si>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</si>
  <si>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</si>
  <si>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</si>
  <si>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</si>
  <si>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</si>
  <si>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</si>
  <si>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</si>
  <si>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</si>
  <si>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</si>
  <si>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</si>
  <si>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</si>
  <si>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</si>
  <si>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</si>
  <si>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</si>
  <si>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</si>
  <si>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</si>
  <si>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</si>
  <si>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</si>
  <si>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</si>
  <si>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</si>
  <si>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</si>
  <si>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Croydon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</si>
</sst>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40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u/>
      <sz val="8"/>
      <color theme="10"/>
      <name val="Arial"/>
      <family val="2"/>
    </font>
    <font>
      <u/>
      <sz val="8"/>
      <color theme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3">
    <xf numFmtId="0" fontId="0" fillId="0" borderId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51" sqref="F51"/>
    </sheetView>
  </sheetViews>
  <sheetFormatPr defaultColWidth="9"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117</v>
      </c>
      <c r="C2" s="21">
        <v>117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97561.81+3292.28</f>
        <v>100854.09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314583.17000000004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7930.06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f>71388.58</f>
        <v>71388.58</v>
      </c>
      <c r="G13" s="18"/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180172.72999999998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314583.17000000004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>
        <v>7930.06</v>
      </c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3478.8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3478.8</v>
      </c>
      <c r="G32" s="41">
        <f>SUM(G22:G31)</f>
        <v>7930.06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f>G19-G32</f>
        <v>-7930.06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4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4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3292.28</v>
      </c>
      <c r="G48" s="18"/>
      <c r="H48" s="18"/>
      <c r="I48" s="18"/>
      <c r="J48" s="13">
        <f>SUM(I459)</f>
        <v>314583.17000000004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1684.24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171717.41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176693.93</v>
      </c>
      <c r="G51" s="41">
        <f>SUM(G35:G50)</f>
        <v>-7930.06</v>
      </c>
      <c r="H51" s="41">
        <f>SUM(H35:H50)</f>
        <v>0</v>
      </c>
      <c r="I51" s="41">
        <f>SUM(I35:I50)</f>
        <v>0</v>
      </c>
      <c r="J51" s="41">
        <f>SUM(J35:J50)</f>
        <v>314583.17000000004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180172.72999999998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314583.17000000004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650873.42000000004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650873.42000000004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f>20.87</f>
        <v>20.87</v>
      </c>
      <c r="G96" s="18"/>
      <c r="H96" s="18"/>
      <c r="I96" s="18"/>
      <c r="J96" s="18">
        <f>454.97+358.33+40.37+103.08+37.78</f>
        <v>994.53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3044.25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3290.83</v>
      </c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10792.63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14104.329999999998</v>
      </c>
      <c r="G111" s="41">
        <f>SUM(G96:G110)</f>
        <v>3044.25</v>
      </c>
      <c r="H111" s="41">
        <f>SUM(H96:H110)</f>
        <v>0</v>
      </c>
      <c r="I111" s="41">
        <f>SUM(I96:I110)</f>
        <v>0</v>
      </c>
      <c r="J111" s="41">
        <f>SUM(J96:J110)</f>
        <v>994.53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664977.75</v>
      </c>
      <c r="G112" s="41">
        <f>G60+G111</f>
        <v>3044.25</v>
      </c>
      <c r="H112" s="41">
        <f>H60+H79+H94+H111</f>
        <v>0</v>
      </c>
      <c r="I112" s="41">
        <f>I60+I111</f>
        <v>0</v>
      </c>
      <c r="J112" s="41">
        <f>J60+J111</f>
        <v>994.53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243654.6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215601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459255.6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24401.1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/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24401.1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483656.69999999995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13176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/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891.85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891.85</v>
      </c>
      <c r="G162" s="41">
        <f>SUM(G150:G161)</f>
        <v>0</v>
      </c>
      <c r="H162" s="41">
        <f>SUM(H150:H161)</f>
        <v>13176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891.85</v>
      </c>
      <c r="G169" s="41">
        <f>G147+G162+SUM(G163:G168)</f>
        <v>0</v>
      </c>
      <c r="H169" s="41">
        <f>H147+H162+SUM(H163:H168)</f>
        <v>13176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1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1149526.3</v>
      </c>
      <c r="G193" s="47">
        <f>G112+G140+G169+G192</f>
        <v>3044.25</v>
      </c>
      <c r="H193" s="47">
        <f>H112+H140+H169+H192</f>
        <v>13176</v>
      </c>
      <c r="I193" s="47">
        <f>I112+I140+I169+I192</f>
        <v>0</v>
      </c>
      <c r="J193" s="47">
        <f>J112+J140+J192</f>
        <v>995.53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103446.5+17268.94+1145</f>
        <v>121860.44</v>
      </c>
      <c r="G197" s="18">
        <f>56229.79</f>
        <v>56229.79</v>
      </c>
      <c r="H197" s="18">
        <f>117.26+279423.4+24015.5-0.24-181203+219079-202330.4</f>
        <v>139101.52000000005</v>
      </c>
      <c r="I197" s="18">
        <f>2507.03-0.1</f>
        <v>2506.9300000000003</v>
      </c>
      <c r="J197" s="18">
        <f>4629.03</f>
        <v>4629.03</v>
      </c>
      <c r="K197" s="18">
        <v>75</v>
      </c>
      <c r="L197" s="19">
        <f>SUM(F197:K197)</f>
        <v>324402.71000000008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15546.54</f>
        <v>15546.54</v>
      </c>
      <c r="G198" s="18">
        <v>7117.42</v>
      </c>
      <c r="H198" s="18">
        <f>2100+15040-6510.37-5358.41</f>
        <v>5271.2200000000012</v>
      </c>
      <c r="I198" s="18">
        <f>1049.3</f>
        <v>1049.3</v>
      </c>
      <c r="J198" s="18"/>
      <c r="K198" s="18"/>
      <c r="L198" s="19">
        <f>SUM(F198:K198)</f>
        <v>28984.48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/>
      <c r="G202" s="18"/>
      <c r="H202" s="18">
        <v>2313</v>
      </c>
      <c r="I202" s="18"/>
      <c r="J202" s="18"/>
      <c r="K202" s="18"/>
      <c r="L202" s="19">
        <f t="shared" ref="L202:L208" si="0">SUM(F202:K202)</f>
        <v>2313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3600</f>
        <v>3600</v>
      </c>
      <c r="G203" s="18">
        <f>837.04</f>
        <v>837.04</v>
      </c>
      <c r="H203" s="18">
        <f>3853.91</f>
        <v>3853.91</v>
      </c>
      <c r="I203" s="18">
        <f>780</f>
        <v>780</v>
      </c>
      <c r="J203" s="18"/>
      <c r="K203" s="18"/>
      <c r="L203" s="19">
        <f t="shared" si="0"/>
        <v>9070.9500000000007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f>85002.25-F222-F240</f>
        <v>51851.372500000005</v>
      </c>
      <c r="G204" s="18">
        <f>6659.48-G222-G240</f>
        <v>4062.2828</v>
      </c>
      <c r="H204" s="18">
        <f>5300+1603.5+1050+6093.07+284+99.5-H222-H240</f>
        <v>8802.3426999999992</v>
      </c>
      <c r="I204" s="18">
        <f>7226.58-I222-I240</f>
        <v>4408.2137999999995</v>
      </c>
      <c r="J204" s="18">
        <f>4246.73</f>
        <v>4246.7299999999996</v>
      </c>
      <c r="K204" s="18">
        <f>187.5+312.2</f>
        <v>499.7</v>
      </c>
      <c r="L204" s="19">
        <f t="shared" si="0"/>
        <v>73870.641799999998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f>7400</f>
        <v>7400</v>
      </c>
      <c r="G205" s="18">
        <f>1689.15+6152.74+810+1169</f>
        <v>9820.89</v>
      </c>
      <c r="H205" s="18"/>
      <c r="I205" s="18">
        <f>674.31</f>
        <v>674.31</v>
      </c>
      <c r="J205" s="18"/>
      <c r="K205" s="18"/>
      <c r="L205" s="19">
        <f t="shared" si="0"/>
        <v>17895.2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f>4156.88</f>
        <v>4156.88</v>
      </c>
      <c r="G207" s="18">
        <v>317.99</v>
      </c>
      <c r="H207" s="18">
        <f>12596.3</f>
        <v>12596.3</v>
      </c>
      <c r="I207" s="18">
        <v>7779.14</v>
      </c>
      <c r="J207" s="18">
        <v>476.67</v>
      </c>
      <c r="K207" s="18"/>
      <c r="L207" s="19">
        <f t="shared" si="0"/>
        <v>25326.979999999996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f>16620.48</f>
        <v>16620.48</v>
      </c>
      <c r="G208" s="18">
        <f>446.37</f>
        <v>446.37</v>
      </c>
      <c r="H208" s="18">
        <f>4748+9935.31+150+5280.85+165.3-H226-H244</f>
        <v>16368.059999999998</v>
      </c>
      <c r="I208" s="18">
        <f>3103.02</f>
        <v>3103.02</v>
      </c>
      <c r="J208" s="18"/>
      <c r="K208" s="18"/>
      <c r="L208" s="19">
        <f t="shared" si="0"/>
        <v>36537.929999999993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221035.71250000002</v>
      </c>
      <c r="G211" s="41">
        <f t="shared" si="1"/>
        <v>78831.782800000001</v>
      </c>
      <c r="H211" s="41">
        <f t="shared" si="1"/>
        <v>188306.35270000005</v>
      </c>
      <c r="I211" s="41">
        <f t="shared" si="1"/>
        <v>20300.913800000002</v>
      </c>
      <c r="J211" s="41">
        <f t="shared" si="1"/>
        <v>9352.4299999999985</v>
      </c>
      <c r="K211" s="41">
        <f t="shared" si="1"/>
        <v>574.70000000000005</v>
      </c>
      <c r="L211" s="41">
        <f t="shared" si="1"/>
        <v>518401.89180000004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>
        <v>181203</v>
      </c>
      <c r="I215" s="18"/>
      <c r="J215" s="18"/>
      <c r="K215" s="18"/>
      <c r="L215" s="19">
        <f>SUM(F215:K215)</f>
        <v>181203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>
        <v>5358.41</v>
      </c>
      <c r="I216" s="18"/>
      <c r="J216" s="18"/>
      <c r="K216" s="18"/>
      <c r="L216" s="19">
        <f>SUM(F216:K216)</f>
        <v>5358.41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f>85002.25*0.15</f>
        <v>12750.3375</v>
      </c>
      <c r="G222" s="18">
        <f>6659.48*0.15</f>
        <v>998.92199999999991</v>
      </c>
      <c r="H222" s="18">
        <f>14430.07*0.15</f>
        <v>2164.5104999999999</v>
      </c>
      <c r="I222" s="18">
        <f>7226.58*0.15</f>
        <v>1083.9869999999999</v>
      </c>
      <c r="J222" s="18"/>
      <c r="K222" s="18"/>
      <c r="L222" s="19">
        <f t="shared" si="2"/>
        <v>16997.757000000001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1504.4</v>
      </c>
      <c r="I226" s="18"/>
      <c r="J226" s="18"/>
      <c r="K226" s="18"/>
      <c r="L226" s="19">
        <f t="shared" si="2"/>
        <v>1504.4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12750.3375</v>
      </c>
      <c r="G229" s="41">
        <f>SUM(G215:G228)</f>
        <v>998.92199999999991</v>
      </c>
      <c r="H229" s="41">
        <f>SUM(H215:H228)</f>
        <v>190230.3205</v>
      </c>
      <c r="I229" s="41">
        <f>SUM(I215:I228)</f>
        <v>1083.9869999999999</v>
      </c>
      <c r="J229" s="41">
        <f>SUM(J215:J228)</f>
        <v>0</v>
      </c>
      <c r="K229" s="41">
        <f t="shared" si="3"/>
        <v>0</v>
      </c>
      <c r="L229" s="41">
        <f t="shared" si="3"/>
        <v>205063.56700000001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202330.4</v>
      </c>
      <c r="I233" s="18"/>
      <c r="J233" s="18"/>
      <c r="K233" s="18"/>
      <c r="L233" s="19">
        <f>SUM(F233:K233)</f>
        <v>202330.4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f>11868.78+139810.18+6510.47</f>
        <v>158189.43</v>
      </c>
      <c r="I234" s="18"/>
      <c r="J234" s="18"/>
      <c r="K234" s="18"/>
      <c r="L234" s="19">
        <f>SUM(F234:K234)</f>
        <v>158189.43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f>85002.25*0.24</f>
        <v>20400.54</v>
      </c>
      <c r="G240" s="18">
        <f>6659.48*0.24</f>
        <v>1598.2751999999998</v>
      </c>
      <c r="H240" s="18">
        <f>14430.07*0.24</f>
        <v>3463.2167999999997</v>
      </c>
      <c r="I240" s="18">
        <f>7226.58*0.24</f>
        <v>1734.3791999999999</v>
      </c>
      <c r="J240" s="18"/>
      <c r="K240" s="18"/>
      <c r="L240" s="19">
        <f t="shared" si="4"/>
        <v>27196.411199999999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2407</v>
      </c>
      <c r="I244" s="18"/>
      <c r="J244" s="18"/>
      <c r="K244" s="18"/>
      <c r="L244" s="19">
        <f t="shared" si="4"/>
        <v>2407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20400.54</v>
      </c>
      <c r="G247" s="41">
        <f t="shared" si="5"/>
        <v>1598.2751999999998</v>
      </c>
      <c r="H247" s="41">
        <f t="shared" si="5"/>
        <v>366390.04679999995</v>
      </c>
      <c r="I247" s="41">
        <f t="shared" si="5"/>
        <v>1734.3791999999999</v>
      </c>
      <c r="J247" s="41">
        <f t="shared" si="5"/>
        <v>0</v>
      </c>
      <c r="K247" s="41">
        <f t="shared" si="5"/>
        <v>0</v>
      </c>
      <c r="L247" s="41">
        <f t="shared" si="5"/>
        <v>390123.24119999993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254186.59000000003</v>
      </c>
      <c r="G257" s="41">
        <f t="shared" si="8"/>
        <v>81428.98000000001</v>
      </c>
      <c r="H257" s="41">
        <f t="shared" si="8"/>
        <v>744926.71999999997</v>
      </c>
      <c r="I257" s="41">
        <f t="shared" si="8"/>
        <v>23119.280000000002</v>
      </c>
      <c r="J257" s="41">
        <f t="shared" si="8"/>
        <v>9352.4299999999985</v>
      </c>
      <c r="K257" s="41">
        <f t="shared" si="8"/>
        <v>574.70000000000005</v>
      </c>
      <c r="L257" s="41">
        <f t="shared" si="8"/>
        <v>1113588.7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1</v>
      </c>
      <c r="L266" s="19">
        <f t="shared" si="9"/>
        <v>1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</v>
      </c>
      <c r="L270" s="41">
        <f t="shared" si="9"/>
        <v>1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254186.59000000003</v>
      </c>
      <c r="G271" s="42">
        <f t="shared" si="11"/>
        <v>81428.98000000001</v>
      </c>
      <c r="H271" s="42">
        <f t="shared" si="11"/>
        <v>744926.71999999997</v>
      </c>
      <c r="I271" s="42">
        <f t="shared" si="11"/>
        <v>23119.280000000002</v>
      </c>
      <c r="J271" s="42">
        <f t="shared" si="11"/>
        <v>9352.4299999999985</v>
      </c>
      <c r="K271" s="42">
        <f t="shared" si="11"/>
        <v>575.70000000000005</v>
      </c>
      <c r="L271" s="42">
        <f t="shared" si="11"/>
        <v>1113589.7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13176</f>
        <v>13176</v>
      </c>
      <c r="G276" s="18">
        <f>0</f>
        <v>0</v>
      </c>
      <c r="H276" s="18"/>
      <c r="I276" s="18"/>
      <c r="J276" s="18"/>
      <c r="K276" s="18"/>
      <c r="L276" s="19">
        <f>SUM(F276:K276)</f>
        <v>13176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13176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13176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13176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13176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13176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13176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f>4023.75</f>
        <v>4023.75</v>
      </c>
      <c r="G358" s="18">
        <v>395.34</v>
      </c>
      <c r="H358" s="18">
        <v>6195.11</v>
      </c>
      <c r="I358" s="18">
        <v>360.11</v>
      </c>
      <c r="J358" s="18"/>
      <c r="K358" s="18"/>
      <c r="L358" s="13">
        <f>SUM(F358:K358)</f>
        <v>10974.310000000001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4023.75</v>
      </c>
      <c r="G362" s="47">
        <f t="shared" si="22"/>
        <v>395.34</v>
      </c>
      <c r="H362" s="47">
        <f t="shared" si="22"/>
        <v>6195.11</v>
      </c>
      <c r="I362" s="47">
        <f t="shared" si="22"/>
        <v>360.11</v>
      </c>
      <c r="J362" s="47">
        <f t="shared" si="22"/>
        <v>0</v>
      </c>
      <c r="K362" s="47">
        <f t="shared" si="22"/>
        <v>0</v>
      </c>
      <c r="L362" s="47">
        <f t="shared" si="22"/>
        <v>10974.310000000001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f>I358</f>
        <v>360.11</v>
      </c>
      <c r="G368" s="63"/>
      <c r="H368" s="63"/>
      <c r="I368" s="56">
        <f>SUM(F368:H368)</f>
        <v>360.11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360.11</v>
      </c>
      <c r="G369" s="47">
        <f>SUM(G367:G368)</f>
        <v>0</v>
      </c>
      <c r="H369" s="47">
        <f>SUM(H367:H368)</f>
        <v>0</v>
      </c>
      <c r="I369" s="47">
        <f>SUM(I367:I368)</f>
        <v>360.11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>
        <v>40.369999999999997</v>
      </c>
      <c r="I396" s="18"/>
      <c r="J396" s="24" t="s">
        <v>288</v>
      </c>
      <c r="K396" s="24" t="s">
        <v>288</v>
      </c>
      <c r="L396" s="56">
        <f t="shared" si="26"/>
        <v>40.369999999999997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1</v>
      </c>
      <c r="H397" s="18">
        <v>454.97</v>
      </c>
      <c r="I397" s="18"/>
      <c r="J397" s="24" t="s">
        <v>288</v>
      </c>
      <c r="K397" s="24" t="s">
        <v>288</v>
      </c>
      <c r="L397" s="56">
        <f t="shared" si="26"/>
        <v>455.97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>
        <v>103.08</v>
      </c>
      <c r="I398" s="18"/>
      <c r="J398" s="24" t="s">
        <v>288</v>
      </c>
      <c r="K398" s="24" t="s">
        <v>288</v>
      </c>
      <c r="L398" s="56">
        <f t="shared" si="26"/>
        <v>103.08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f>358.33+37.78</f>
        <v>396.11</v>
      </c>
      <c r="I400" s="18"/>
      <c r="J400" s="24" t="s">
        <v>288</v>
      </c>
      <c r="K400" s="24" t="s">
        <v>288</v>
      </c>
      <c r="L400" s="56">
        <f t="shared" si="26"/>
        <v>396.11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</v>
      </c>
      <c r="H401" s="47">
        <f>SUM(H395:H400)</f>
        <v>994.53000000000009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995.53000000000009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1</v>
      </c>
      <c r="H408" s="47">
        <f>H393+H401+H407</f>
        <v>994.53000000000009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995.53000000000009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>
        <v>0</v>
      </c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20489.21</v>
      </c>
      <c r="G440" s="18">
        <f>151905.55+95159.2+34414.51+12614.7</f>
        <v>294093.96000000002</v>
      </c>
      <c r="H440" s="18"/>
      <c r="I440" s="56">
        <f t="shared" si="33"/>
        <v>314583.17000000004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20489.21</v>
      </c>
      <c r="G446" s="13">
        <f>SUM(G439:G445)</f>
        <v>294093.96000000002</v>
      </c>
      <c r="H446" s="13">
        <f>SUM(H439:H445)</f>
        <v>0</v>
      </c>
      <c r="I446" s="13">
        <f>SUM(I439:I445)</f>
        <v>314583.17000000004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20489.21</v>
      </c>
      <c r="G459" s="18">
        <f>G440</f>
        <v>294093.96000000002</v>
      </c>
      <c r="H459" s="18"/>
      <c r="I459" s="56">
        <f t="shared" si="34"/>
        <v>314583.17000000004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20489.21</v>
      </c>
      <c r="G460" s="83">
        <f>SUM(G454:G459)</f>
        <v>294093.96000000002</v>
      </c>
      <c r="H460" s="83">
        <f>SUM(H454:H459)</f>
        <v>0</v>
      </c>
      <c r="I460" s="83">
        <f>SUM(I454:I459)</f>
        <v>314583.17000000004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20489.21</v>
      </c>
      <c r="G461" s="42">
        <f>G452+G460</f>
        <v>294093.96000000002</v>
      </c>
      <c r="H461" s="42">
        <f>H452+H460</f>
        <v>0</v>
      </c>
      <c r="I461" s="42">
        <f>I452+I460</f>
        <v>314583.17000000004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f>98937.99+41819.34</f>
        <v>140757.33000000002</v>
      </c>
      <c r="G465" s="18"/>
      <c r="H465" s="18"/>
      <c r="I465" s="18"/>
      <c r="J465" s="18">
        <v>313587.64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F193</f>
        <v>1149526.3</v>
      </c>
      <c r="G468" s="18">
        <f>G193</f>
        <v>3044.25</v>
      </c>
      <c r="H468" s="18">
        <f>H193</f>
        <v>13176</v>
      </c>
      <c r="I468" s="18"/>
      <c r="J468" s="18">
        <f>L408</f>
        <v>995.53000000000009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1149526.3</v>
      </c>
      <c r="G470" s="53">
        <f>SUM(G468:G469)</f>
        <v>3044.25</v>
      </c>
      <c r="H470" s="53">
        <f>SUM(H468:H469)</f>
        <v>13176</v>
      </c>
      <c r="I470" s="53">
        <f>SUM(I468:I469)</f>
        <v>0</v>
      </c>
      <c r="J470" s="53">
        <f>SUM(J468:J469)</f>
        <v>995.53000000000009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1113589.7</v>
      </c>
      <c r="G472" s="18">
        <f>L362</f>
        <v>10974.310000000001</v>
      </c>
      <c r="H472" s="18">
        <f>L352</f>
        <v>13176</v>
      </c>
      <c r="I472" s="18"/>
      <c r="J472" s="18">
        <f>L434</f>
        <v>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1113589.7</v>
      </c>
      <c r="G474" s="53">
        <f>SUM(G472:G473)</f>
        <v>10974.310000000001</v>
      </c>
      <c r="H474" s="53">
        <f>SUM(H472:H473)</f>
        <v>13176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176693.93000000017</v>
      </c>
      <c r="G476" s="53">
        <f>(G465+G470)- G474</f>
        <v>-7930.0600000000013</v>
      </c>
      <c r="H476" s="53">
        <f>(H465+H470)- H474</f>
        <v>0</v>
      </c>
      <c r="I476" s="53">
        <f>(I465+I470)- I474</f>
        <v>0</v>
      </c>
      <c r="J476" s="53">
        <f>(J465+J470)- J474</f>
        <v>314583.17000000004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F198+F276</f>
        <v>28722.54</v>
      </c>
      <c r="G521" s="18">
        <f>G198</f>
        <v>7117.42</v>
      </c>
      <c r="H521" s="18">
        <f>H198</f>
        <v>5271.2200000000012</v>
      </c>
      <c r="I521" s="18">
        <f>I198</f>
        <v>1049.3</v>
      </c>
      <c r="J521" s="18"/>
      <c r="K521" s="18"/>
      <c r="L521" s="88">
        <f>SUM(F521:K521)</f>
        <v>42160.480000000003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>
        <v>0</v>
      </c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f>H234-H528</f>
        <v>151679.06</v>
      </c>
      <c r="I523" s="18"/>
      <c r="J523" s="18"/>
      <c r="K523" s="18"/>
      <c r="L523" s="88">
        <f>SUM(F523:K523)</f>
        <v>151679.06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28722.54</v>
      </c>
      <c r="G524" s="108">
        <f t="shared" ref="G524:L524" si="36">SUM(G521:G523)</f>
        <v>7117.42</v>
      </c>
      <c r="H524" s="108">
        <f t="shared" si="36"/>
        <v>156950.28</v>
      </c>
      <c r="I524" s="108">
        <f t="shared" si="36"/>
        <v>1049.3</v>
      </c>
      <c r="J524" s="108">
        <f t="shared" si="36"/>
        <v>0</v>
      </c>
      <c r="K524" s="108">
        <f t="shared" si="36"/>
        <v>0</v>
      </c>
      <c r="L524" s="89">
        <f t="shared" si="36"/>
        <v>193839.54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>
        <f>H216</f>
        <v>5358.41</v>
      </c>
      <c r="I527" s="18"/>
      <c r="J527" s="18"/>
      <c r="K527" s="18"/>
      <c r="L527" s="88">
        <f>SUM(F527:K527)</f>
        <v>5358.41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>
        <f>6510.37</f>
        <v>6510.37</v>
      </c>
      <c r="I528" s="18"/>
      <c r="J528" s="18"/>
      <c r="K528" s="18"/>
      <c r="L528" s="88">
        <f>SUM(F528:K528)</f>
        <v>6510.37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11868.779999999999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11868.779999999999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0</v>
      </c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0</v>
      </c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0</v>
      </c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28722.54</v>
      </c>
      <c r="G545" s="89">
        <f t="shared" ref="G545:L545" si="41">G524+G529+G534+G539+G544</f>
        <v>7117.42</v>
      </c>
      <c r="H545" s="89">
        <f t="shared" si="41"/>
        <v>168819.06</v>
      </c>
      <c r="I545" s="89">
        <f t="shared" si="41"/>
        <v>1049.3</v>
      </c>
      <c r="J545" s="89">
        <f t="shared" si="41"/>
        <v>0</v>
      </c>
      <c r="K545" s="89">
        <f t="shared" si="41"/>
        <v>0</v>
      </c>
      <c r="L545" s="89">
        <f t="shared" si="41"/>
        <v>205708.32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42160.480000000003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42160.480000000003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5358.41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5358.41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151679.06</v>
      </c>
      <c r="G551" s="87">
        <f>L528</f>
        <v>6510.37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158189.43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193839.54</v>
      </c>
      <c r="G552" s="89">
        <f t="shared" si="42"/>
        <v>11868.779999999999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205708.32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>
        <f>114969</f>
        <v>114969</v>
      </c>
      <c r="G575" s="18">
        <f>H215</f>
        <v>181203</v>
      </c>
      <c r="H575" s="18">
        <f>H233</f>
        <v>202330.4</v>
      </c>
      <c r="I575" s="87">
        <f>SUM(F575:H575)</f>
        <v>498502.40000000002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>
        <v>24015.5</v>
      </c>
      <c r="G578" s="18"/>
      <c r="H578" s="18"/>
      <c r="I578" s="87">
        <f t="shared" si="47"/>
        <v>24015.5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>
        <f>139810.18</f>
        <v>139810.18</v>
      </c>
      <c r="I582" s="87">
        <f t="shared" si="47"/>
        <v>139810.18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f>10028.85-I591-J591+30270.48</f>
        <v>36387.93</v>
      </c>
      <c r="I591" s="18">
        <f>H226</f>
        <v>1504.4</v>
      </c>
      <c r="J591" s="18">
        <f>H244</f>
        <v>2407</v>
      </c>
      <c r="K591" s="104">
        <f t="shared" ref="K591:K597" si="48">SUM(H591:J591)</f>
        <v>40299.33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0</v>
      </c>
      <c r="I592" s="18"/>
      <c r="J592" s="18"/>
      <c r="K592" s="104">
        <f t="shared" si="48"/>
        <v>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f>150</f>
        <v>150</v>
      </c>
      <c r="I595" s="18"/>
      <c r="J595" s="18"/>
      <c r="K595" s="104">
        <f t="shared" si="48"/>
        <v>150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36537.93</v>
      </c>
      <c r="I598" s="108">
        <f>SUM(I591:I597)</f>
        <v>1504.4</v>
      </c>
      <c r="J598" s="108">
        <f>SUM(J591:J597)</f>
        <v>2407</v>
      </c>
      <c r="K598" s="108">
        <f>SUM(K591:K597)</f>
        <v>40449.33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J271</f>
        <v>9352.4299999999985</v>
      </c>
      <c r="I604" s="18"/>
      <c r="J604" s="18"/>
      <c r="K604" s="104">
        <f>SUM(H604:J604)</f>
        <v>9352.4299999999985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9352.4299999999985</v>
      </c>
      <c r="I605" s="108">
        <f>SUM(I602:I604)</f>
        <v>0</v>
      </c>
      <c r="J605" s="108">
        <f>SUM(J602:J604)</f>
        <v>0</v>
      </c>
      <c r="K605" s="108">
        <f>SUM(K602:K604)</f>
        <v>9352.4299999999985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180172.72999999998</v>
      </c>
      <c r="H617" s="109">
        <f>SUM(F52)</f>
        <v>180172.72999999998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0</v>
      </c>
      <c r="H618" s="109">
        <f>SUM(G52)</f>
        <v>0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0</v>
      </c>
      <c r="H619" s="109">
        <f>SUM(H52)</f>
        <v>0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314583.17000000004</v>
      </c>
      <c r="H621" s="109">
        <f>SUM(J52)</f>
        <v>314583.17000000004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176693.93</v>
      </c>
      <c r="H622" s="109">
        <f>F476</f>
        <v>176693.93000000017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-7930.06</v>
      </c>
      <c r="H623" s="109">
        <f>G476</f>
        <v>-7930.0600000000013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314583.17000000004</v>
      </c>
      <c r="H626" s="109">
        <f>J476</f>
        <v>314583.17000000004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1149526.3</v>
      </c>
      <c r="H627" s="104">
        <f>SUM(F468)</f>
        <v>1149526.3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3044.25</v>
      </c>
      <c r="H628" s="104">
        <f>SUM(G468)</f>
        <v>3044.25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13176</v>
      </c>
      <c r="H629" s="104">
        <f>SUM(H468)</f>
        <v>13176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995.53</v>
      </c>
      <c r="H631" s="104">
        <f>SUM(J468)</f>
        <v>995.53000000000009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1113589.7</v>
      </c>
      <c r="H632" s="104">
        <f>SUM(F472)</f>
        <v>1113589.7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13176</v>
      </c>
      <c r="H633" s="104">
        <f>SUM(H472)</f>
        <v>13176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360.11</v>
      </c>
      <c r="H634" s="104">
        <f>I369</f>
        <v>360.11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10974.310000000001</v>
      </c>
      <c r="H635" s="104">
        <f>SUM(G472)</f>
        <v>10974.310000000001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995.53000000000009</v>
      </c>
      <c r="H637" s="164">
        <f>SUM(J468)</f>
        <v>995.53000000000009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20489.21</v>
      </c>
      <c r="H639" s="104">
        <f>SUM(F461)</f>
        <v>20489.21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294093.96000000002</v>
      </c>
      <c r="H640" s="104">
        <f>SUM(G461)</f>
        <v>294093.96000000002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314583.17000000004</v>
      </c>
      <c r="H642" s="104">
        <f>SUM(I461)</f>
        <v>314583.17000000004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994.53</v>
      </c>
      <c r="H644" s="104">
        <f>H408</f>
        <v>994.53000000000009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1</v>
      </c>
      <c r="H645" s="104">
        <f>G408</f>
        <v>1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995.53</v>
      </c>
      <c r="H646" s="104">
        <f>L408</f>
        <v>995.53000000000009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40449.33</v>
      </c>
      <c r="H647" s="104">
        <f>L208+L226+L244</f>
        <v>40449.329999999994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9352.4299999999985</v>
      </c>
      <c r="H648" s="104">
        <f>(J257+J338)-(J255+J336)</f>
        <v>9352.4299999999985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36537.929999999993</v>
      </c>
      <c r="H649" s="104">
        <f>H598</f>
        <v>36537.93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1504.4</v>
      </c>
      <c r="H650" s="104">
        <f>I598</f>
        <v>1504.4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2407</v>
      </c>
      <c r="H651" s="104">
        <f>J598</f>
        <v>2407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1</v>
      </c>
      <c r="H655" s="104">
        <f>K266+K347</f>
        <v>1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542552.20180000016</v>
      </c>
      <c r="G660" s="19">
        <f>(L229+L309+L359)</f>
        <v>205063.56700000001</v>
      </c>
      <c r="H660" s="19">
        <f>(L247+L328+L360)</f>
        <v>390123.24119999993</v>
      </c>
      <c r="I660" s="19">
        <f>SUM(F660:H660)</f>
        <v>1137739.0100000002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3044.25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3044.25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36537.929999999993</v>
      </c>
      <c r="G662" s="19">
        <f>(L226+L306)-(J226+J306)</f>
        <v>1504.4</v>
      </c>
      <c r="H662" s="19">
        <f>(L244+L325)-(J244+J325)</f>
        <v>2407</v>
      </c>
      <c r="I662" s="19">
        <f>SUM(F662:H662)</f>
        <v>40449.329999999994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148336.93</v>
      </c>
      <c r="G663" s="199">
        <f>SUM(G575:G587)+SUM(I602:I604)+L612</f>
        <v>181203</v>
      </c>
      <c r="H663" s="199">
        <f>SUM(H575:H587)+SUM(J602:J604)+L613</f>
        <v>342140.57999999996</v>
      </c>
      <c r="I663" s="19">
        <f>SUM(F663:H663)</f>
        <v>671680.51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354633.09180000017</v>
      </c>
      <c r="G664" s="19">
        <f>G660-SUM(G661:G663)</f>
        <v>22356.167000000016</v>
      </c>
      <c r="H664" s="19">
        <f>H660-SUM(H661:H663)</f>
        <v>45575.661199999973</v>
      </c>
      <c r="I664" s="19">
        <f>I660-SUM(I661:I663)</f>
        <v>422564.92000000027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22.87</v>
      </c>
      <c r="G665" s="248"/>
      <c r="H665" s="248"/>
      <c r="I665" s="19">
        <f>SUM(F665:H665)</f>
        <v>22.87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15506.48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18476.82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-22356.17</v>
      </c>
      <c r="H669" s="18">
        <v>-45575.66</v>
      </c>
      <c r="I669" s="19">
        <f>SUM(F669:H669)</f>
        <v>-67931.83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15506.48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15506.48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" sqref="B1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3" t="s">
        <v>784</v>
      </c>
      <c r="B1" s="232" t="str">
        <f>'DOE25'!A2</f>
        <v>Croydon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135036.44</v>
      </c>
      <c r="C9" s="229">
        <f>'DOE25'!G197+'DOE25'!G215+'DOE25'!G233+'DOE25'!G276+'DOE25'!G295+'DOE25'!G314</f>
        <v>56229.79</v>
      </c>
    </row>
    <row r="10" spans="1:3" x14ac:dyDescent="0.2">
      <c r="A10" t="s">
        <v>778</v>
      </c>
      <c r="B10" s="240">
        <f>103446.5+13176</f>
        <v>116622.5</v>
      </c>
      <c r="C10" s="240">
        <v>48899.86</v>
      </c>
    </row>
    <row r="11" spans="1:3" x14ac:dyDescent="0.2">
      <c r="A11" t="s">
        <v>779</v>
      </c>
      <c r="B11" s="240">
        <v>17268.939999999999</v>
      </c>
      <c r="C11" s="240">
        <f>56142.2-C10</f>
        <v>7242.3399999999965</v>
      </c>
    </row>
    <row r="12" spans="1:3" x14ac:dyDescent="0.2">
      <c r="A12" t="s">
        <v>780</v>
      </c>
      <c r="B12" s="240">
        <v>1145</v>
      </c>
      <c r="C12" s="240">
        <v>87.59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135036.44</v>
      </c>
      <c r="C13" s="231">
        <f>SUM(C10:C12)</f>
        <v>56229.789999999994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15546.54</v>
      </c>
      <c r="C18" s="229">
        <f>'DOE25'!G198+'DOE25'!G216+'DOE25'!G234+'DOE25'!G277+'DOE25'!G296+'DOE25'!G315</f>
        <v>7117.42</v>
      </c>
    </row>
    <row r="19" spans="1:3" x14ac:dyDescent="0.2">
      <c r="A19" t="s">
        <v>778</v>
      </c>
      <c r="B19" s="240">
        <v>15546.54</v>
      </c>
      <c r="C19" s="240">
        <v>7117.42</v>
      </c>
    </row>
    <row r="20" spans="1:3" x14ac:dyDescent="0.2">
      <c r="A20" t="s">
        <v>779</v>
      </c>
      <c r="B20" s="240"/>
      <c r="C20" s="240"/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15546.54</v>
      </c>
      <c r="C22" s="231">
        <f>SUM(C19:C21)</f>
        <v>7117.42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/>
  <headerFooter alignWithMargins="0">
    <oddHeader>&amp;C&amp;A
FY2016-2017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Croydon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900468.43</v>
      </c>
      <c r="D5" s="20">
        <f>SUM('DOE25'!L197:L200)+SUM('DOE25'!L215:L218)+SUM('DOE25'!L233:L236)-F5-G5</f>
        <v>895764.4</v>
      </c>
      <c r="E5" s="243"/>
      <c r="F5" s="255">
        <f>SUM('DOE25'!J197:J200)+SUM('DOE25'!J215:J218)+SUM('DOE25'!J233:J236)</f>
        <v>4629.03</v>
      </c>
      <c r="G5" s="53">
        <f>SUM('DOE25'!K197:K200)+SUM('DOE25'!K215:K218)+SUM('DOE25'!K233:K236)</f>
        <v>75</v>
      </c>
      <c r="H5" s="259"/>
    </row>
    <row r="6" spans="1:9" x14ac:dyDescent="0.2">
      <c r="A6" s="32">
        <v>2100</v>
      </c>
      <c r="B6" t="s">
        <v>800</v>
      </c>
      <c r="C6" s="245">
        <f t="shared" si="0"/>
        <v>2313</v>
      </c>
      <c r="D6" s="20">
        <f>'DOE25'!L202+'DOE25'!L220+'DOE25'!L238-F6-G6</f>
        <v>2313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9070.9500000000007</v>
      </c>
      <c r="D7" s="20">
        <f>'DOE25'!L203+'DOE25'!L221+'DOE25'!L239-F7-G7</f>
        <v>9070.9500000000007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58520.979999999996</v>
      </c>
      <c r="D8" s="243"/>
      <c r="E8" s="20">
        <f>'DOE25'!L204+'DOE25'!L222+'DOE25'!L240-F8-G8-D9-D11</f>
        <v>53774.55</v>
      </c>
      <c r="F8" s="255">
        <f>'DOE25'!J204+'DOE25'!J222+'DOE25'!J240</f>
        <v>4246.7299999999996</v>
      </c>
      <c r="G8" s="53">
        <f>'DOE25'!K204+'DOE25'!K222+'DOE25'!K240</f>
        <v>499.7</v>
      </c>
      <c r="H8" s="259"/>
    </row>
    <row r="9" spans="1:9" x14ac:dyDescent="0.2">
      <c r="A9" s="32">
        <v>2310</v>
      </c>
      <c r="B9" t="s">
        <v>817</v>
      </c>
      <c r="C9" s="245">
        <f t="shared" si="0"/>
        <v>8240.5</v>
      </c>
      <c r="D9" s="244">
        <f>99.5+5300+1603.5+1050+187.5</f>
        <v>8240.5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5300</v>
      </c>
      <c r="D10" s="243"/>
      <c r="E10" s="244">
        <v>5300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51303.33</v>
      </c>
      <c r="D11" s="244">
        <v>51303.33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17895.2</v>
      </c>
      <c r="D12" s="20">
        <f>'DOE25'!L205+'DOE25'!L223+'DOE25'!L241-F12-G12</f>
        <v>17895.2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25326.979999999996</v>
      </c>
      <c r="D14" s="20">
        <f>'DOE25'!L207+'DOE25'!L225+'DOE25'!L243-F14-G14</f>
        <v>24850.309999999998</v>
      </c>
      <c r="E14" s="243"/>
      <c r="F14" s="255">
        <f>'DOE25'!J207+'DOE25'!J225+'DOE25'!J243</f>
        <v>476.67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40449.329999999994</v>
      </c>
      <c r="D15" s="20">
        <f>'DOE25'!L208+'DOE25'!L226+'DOE25'!L244-F15-G15</f>
        <v>40449.329999999994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10974.310000000001</v>
      </c>
      <c r="D29" s="20">
        <f>'DOE25'!L358+'DOE25'!L359+'DOE25'!L360-'DOE25'!I367-F29-G29</f>
        <v>10974.310000000001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13176</v>
      </c>
      <c r="D31" s="20">
        <f>'DOE25'!L290+'DOE25'!L309+'DOE25'!L328+'DOE25'!L333+'DOE25'!L334+'DOE25'!L335-F31-G31</f>
        <v>13176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1074037.33</v>
      </c>
      <c r="E33" s="246">
        <f>SUM(E5:E31)</f>
        <v>59074.55</v>
      </c>
      <c r="F33" s="246">
        <f>SUM(F5:F31)</f>
        <v>9352.4299999999985</v>
      </c>
      <c r="G33" s="246">
        <f>SUM(G5:G31)</f>
        <v>574.70000000000005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59074.55</v>
      </c>
      <c r="E35" s="249"/>
    </row>
    <row r="36" spans="2:8" ht="12" thickTop="1" x14ac:dyDescent="0.2">
      <c r="B36" t="s">
        <v>814</v>
      </c>
      <c r="D36" s="20">
        <f>D33</f>
        <v>1074037.33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zoomScalePageLayoutView="80" workbookViewId="0">
      <pane ySplit="2" topLeftCell="A99" activePane="bottomLeft" state="frozen"/>
      <selection activeCell="F46" sqref="F46"/>
      <selection pane="bottomLeft" activeCell="C48" sqref="C48:C49"/>
    </sheetView>
  </sheetViews>
  <sheetFormatPr defaultColWidth="9" defaultRowHeight="11.25" x14ac:dyDescent="0.2"/>
  <cols>
    <col min="1" max="1" width="52.832031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Croydon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100854.09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314583.17000000004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7930.06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71388.58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180172.72999999998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314583.17000000004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7930.06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3478.8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3478.8</v>
      </c>
      <c r="D31" s="41">
        <f>SUM(D21:D30)</f>
        <v>7930.06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-7930.06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'DOE25'!F49</f>
        <v>1684.24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'DOE25'!F50</f>
        <v>171717.41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3292.28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314583.17000000004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1684.24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171717.41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350095.57999999996</v>
      </c>
      <c r="D50" s="41">
        <f>SUM(D34:D49)</f>
        <v>-7930.06</v>
      </c>
      <c r="E50" s="41">
        <f>SUM(E34:E49)</f>
        <v>0</v>
      </c>
      <c r="F50" s="41">
        <f>SUM(F34:F49)</f>
        <v>0</v>
      </c>
      <c r="G50" s="41">
        <f>SUM(G34:G49)</f>
        <v>314583.17000000004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353574.37999999995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314583.17000000004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650873.42000000004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20.87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994.53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3044.25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14083.46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14104.33</v>
      </c>
      <c r="D62" s="130">
        <f>SUM(D57:D61)</f>
        <v>3044.25</v>
      </c>
      <c r="E62" s="130">
        <f>SUM(E57:E61)</f>
        <v>0</v>
      </c>
      <c r="F62" s="130">
        <f>SUM(F57:F61)</f>
        <v>0</v>
      </c>
      <c r="G62" s="130">
        <f>SUM(G57:G61)</f>
        <v>994.53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664977.75</v>
      </c>
      <c r="D63" s="22">
        <f>D56+D62</f>
        <v>3044.25</v>
      </c>
      <c r="E63" s="22">
        <f>E56+E62</f>
        <v>0</v>
      </c>
      <c r="F63" s="22">
        <f>F56+F62</f>
        <v>0</v>
      </c>
      <c r="G63" s="22">
        <f>G56+G62</f>
        <v>994.53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243654.6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215601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459255.6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24401.1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24401.1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483656.69999999995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891.85</v>
      </c>
      <c r="D88" s="95">
        <f>SUM('DOE25'!G153:G161)</f>
        <v>0</v>
      </c>
      <c r="E88" s="95">
        <f>SUM('DOE25'!H153:H161)</f>
        <v>13176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891.85</v>
      </c>
      <c r="D91" s="131">
        <f>SUM(D85:D90)</f>
        <v>0</v>
      </c>
      <c r="E91" s="131">
        <f>SUM(E85:E90)</f>
        <v>13176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</v>
      </c>
    </row>
    <row r="104" spans="1:7" ht="12.75" thickTop="1" thickBot="1" x14ac:dyDescent="0.25">
      <c r="A104" s="33" t="s">
        <v>764</v>
      </c>
      <c r="C104" s="86">
        <f>C63+C81+C91+C103</f>
        <v>1149526.3</v>
      </c>
      <c r="D104" s="86">
        <f>D63+D81+D91+D103</f>
        <v>3044.25</v>
      </c>
      <c r="E104" s="86">
        <f>E63+E81+E91+E103</f>
        <v>13176</v>
      </c>
      <c r="F104" s="86">
        <f>F63+F81+F91+F103</f>
        <v>0</v>
      </c>
      <c r="G104" s="86">
        <f>G63+G81+G103</f>
        <v>995.53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707936.1100000001</v>
      </c>
      <c r="D109" s="24" t="s">
        <v>288</v>
      </c>
      <c r="E109" s="95">
        <f>('DOE25'!L276)+('DOE25'!L295)+('DOE25'!L314)</f>
        <v>13176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192532.32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900468.43000000017</v>
      </c>
      <c r="D115" s="86">
        <f>SUM(D109:D114)</f>
        <v>0</v>
      </c>
      <c r="E115" s="86">
        <f>SUM(E109:E114)</f>
        <v>13176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2313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9070.9500000000007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118064.81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17895.2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25326.979999999996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40449.329999999994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10974.310000000001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213120.27</v>
      </c>
      <c r="D128" s="86">
        <f>SUM(D118:D127)</f>
        <v>10974.310000000001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995.53000000000009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-994.53000000000009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1113589.7000000002</v>
      </c>
      <c r="D145" s="86">
        <f>(D115+D128+D144)</f>
        <v>10974.310000000001</v>
      </c>
      <c r="E145" s="86">
        <f>(E115+E128+E144)</f>
        <v>13176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Croydon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15506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15506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721112</v>
      </c>
      <c r="D10" s="182">
        <f>ROUND((C10/$C$28)*100,1)</f>
        <v>63.6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192532</v>
      </c>
      <c r="D11" s="182">
        <f>ROUND((C11/$C$28)*100,1)</f>
        <v>17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2313</v>
      </c>
      <c r="D15" s="182">
        <f t="shared" ref="D15:D27" si="0">ROUND((C15/$C$28)*100,1)</f>
        <v>0.2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9071</v>
      </c>
      <c r="D16" s="182">
        <f t="shared" si="0"/>
        <v>0.8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118065</v>
      </c>
      <c r="D17" s="182">
        <f t="shared" si="0"/>
        <v>10.4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17895</v>
      </c>
      <c r="D18" s="182">
        <f t="shared" si="0"/>
        <v>1.6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25327</v>
      </c>
      <c r="D20" s="182">
        <f t="shared" si="0"/>
        <v>2.2000000000000002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40449</v>
      </c>
      <c r="D21" s="182">
        <f t="shared" si="0"/>
        <v>3.6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7929.75</v>
      </c>
      <c r="D27" s="182">
        <f t="shared" si="0"/>
        <v>0.7</v>
      </c>
    </row>
    <row r="28" spans="1:4" x14ac:dyDescent="0.2">
      <c r="B28" s="187" t="s">
        <v>722</v>
      </c>
      <c r="C28" s="180">
        <f>SUM(C10:C27)</f>
        <v>1134693.75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1134693.75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650873</v>
      </c>
      <c r="D35" s="182">
        <f t="shared" ref="D35:D40" si="1">ROUND((C35/$C$41)*100,1)</f>
        <v>55.9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15099.280000000028</v>
      </c>
      <c r="D36" s="182">
        <f t="shared" si="1"/>
        <v>1.3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459256</v>
      </c>
      <c r="D37" s="182">
        <f t="shared" si="1"/>
        <v>39.5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24401</v>
      </c>
      <c r="D38" s="182">
        <f t="shared" si="1"/>
        <v>2.1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14068</v>
      </c>
      <c r="D39" s="182">
        <f t="shared" si="1"/>
        <v>1.2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1163697.28</v>
      </c>
      <c r="D41" s="184">
        <f>SUM(D35:D40)</f>
        <v>99.999999999999986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/>
  <headerFooter alignWithMargins="0">
    <oddHeader>&amp;A</oddHeader>
    <oddFooter>Page &amp;P</oddFooter>
  </headerFooter>
  <ignoredErrors>
    <ignoredError sqref="D10:D28" evalErro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Croydon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/>
  <headerFooter alignWithMargins="0">
    <oddHeader>&amp;LDistrict Notes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1.2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2017-11-09T14:44:48Z</cp:lastPrinted>
  <dcterms:created xsi:type="dcterms:W3CDTF">1997-12-04T19:04:30Z</dcterms:created>
  <dcterms:modified xsi:type="dcterms:W3CDTF">2017-11-29T17:14:51Z</dcterms:modified>
</cp:coreProperties>
</file>