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30" windowWidth="18075" windowHeight="113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H528" i="1" l="1"/>
  <c r="H526" i="1"/>
  <c r="H523" i="1"/>
  <c r="G521" i="1"/>
  <c r="H521" i="1"/>
  <c r="I521" i="1"/>
  <c r="J521" i="1"/>
  <c r="K521" i="1"/>
  <c r="F52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E118" i="2" s="1"/>
  <c r="L282" i="1"/>
  <c r="C16" i="10" s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F22" i="13" s="1"/>
  <c r="C22" i="13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8" i="10"/>
  <c r="C19" i="10"/>
  <c r="L250" i="1"/>
  <c r="L332" i="1"/>
  <c r="L254" i="1"/>
  <c r="L268" i="1"/>
  <c r="C142" i="2" s="1"/>
  <c r="L269" i="1"/>
  <c r="L349" i="1"/>
  <c r="L350" i="1"/>
  <c r="I665" i="1"/>
  <c r="I670" i="1"/>
  <c r="L229" i="1"/>
  <c r="G661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1" i="2"/>
  <c r="E111" i="2"/>
  <c r="E112" i="2"/>
  <c r="C113" i="2"/>
  <c r="E113" i="2"/>
  <c r="C114" i="2"/>
  <c r="E114" i="2"/>
  <c r="D115" i="2"/>
  <c r="F115" i="2"/>
  <c r="G115" i="2"/>
  <c r="E121" i="2"/>
  <c r="C122" i="2"/>
  <c r="E122" i="2"/>
  <c r="C123" i="2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H476" i="1" s="1"/>
  <c r="H624" i="1" s="1"/>
  <c r="J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H644" i="1"/>
  <c r="J644" i="1" s="1"/>
  <c r="G645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26" i="10"/>
  <c r="L328" i="1"/>
  <c r="L351" i="1"/>
  <c r="A31" i="12"/>
  <c r="C70" i="2"/>
  <c r="D12" i="13"/>
  <c r="C12" i="13" s="1"/>
  <c r="D18" i="13"/>
  <c r="C18" i="13" s="1"/>
  <c r="D17" i="13"/>
  <c r="C17" i="13" s="1"/>
  <c r="C91" i="2"/>
  <c r="F78" i="2"/>
  <c r="F81" i="2" s="1"/>
  <c r="D50" i="2"/>
  <c r="G157" i="2"/>
  <c r="F18" i="2"/>
  <c r="G161" i="2"/>
  <c r="G156" i="2"/>
  <c r="E103" i="2"/>
  <c r="D91" i="2"/>
  <c r="E62" i="2"/>
  <c r="E63" i="2" s="1"/>
  <c r="D19" i="13"/>
  <c r="C19" i="13" s="1"/>
  <c r="E13" i="13"/>
  <c r="C13" i="13" s="1"/>
  <c r="E78" i="2"/>
  <c r="E81" i="2" s="1"/>
  <c r="L427" i="1"/>
  <c r="H112" i="1"/>
  <c r="J641" i="1"/>
  <c r="J639" i="1"/>
  <c r="J571" i="1"/>
  <c r="K571" i="1"/>
  <c r="L433" i="1"/>
  <c r="L419" i="1"/>
  <c r="I169" i="1"/>
  <c r="J643" i="1"/>
  <c r="I476" i="1"/>
  <c r="H625" i="1" s="1"/>
  <c r="J625" i="1" s="1"/>
  <c r="G338" i="1"/>
  <c r="G352" i="1" s="1"/>
  <c r="J140" i="1"/>
  <c r="F571" i="1"/>
  <c r="I552" i="1"/>
  <c r="K549" i="1"/>
  <c r="K550" i="1"/>
  <c r="G22" i="2"/>
  <c r="K545" i="1"/>
  <c r="C29" i="10"/>
  <c r="H140" i="1"/>
  <c r="L393" i="1"/>
  <c r="H571" i="1"/>
  <c r="L560" i="1"/>
  <c r="J545" i="1"/>
  <c r="H192" i="1"/>
  <c r="C35" i="10"/>
  <c r="L309" i="1"/>
  <c r="E16" i="13"/>
  <c r="J655" i="1"/>
  <c r="L570" i="1"/>
  <c r="I571" i="1"/>
  <c r="J636" i="1"/>
  <c r="G36" i="2"/>
  <c r="L565" i="1"/>
  <c r="G545" i="1"/>
  <c r="K551" i="1"/>
  <c r="C138" i="2"/>
  <c r="C16" i="13"/>
  <c r="A40" i="12" l="1"/>
  <c r="C15" i="10"/>
  <c r="C118" i="2"/>
  <c r="H545" i="1"/>
  <c r="F552" i="1"/>
  <c r="L524" i="1"/>
  <c r="L545" i="1" s="1"/>
  <c r="K552" i="1"/>
  <c r="E8" i="13"/>
  <c r="C8" i="13" s="1"/>
  <c r="C17" i="10"/>
  <c r="K598" i="1"/>
  <c r="G647" i="1" s="1"/>
  <c r="H257" i="1"/>
  <c r="H271" i="1" s="1"/>
  <c r="C130" i="2"/>
  <c r="H661" i="1"/>
  <c r="F661" i="1"/>
  <c r="I661" i="1" s="1"/>
  <c r="G476" i="1"/>
  <c r="H623" i="1" s="1"/>
  <c r="J623" i="1" s="1"/>
  <c r="J651" i="1"/>
  <c r="I460" i="1"/>
  <c r="I461" i="1" s="1"/>
  <c r="H642" i="1" s="1"/>
  <c r="J642" i="1" s="1"/>
  <c r="I446" i="1"/>
  <c r="G642" i="1" s="1"/>
  <c r="H660" i="1"/>
  <c r="D5" i="13"/>
  <c r="C5" i="13" s="1"/>
  <c r="D14" i="13"/>
  <c r="C14" i="13" s="1"/>
  <c r="D18" i="2"/>
  <c r="J617" i="1"/>
  <c r="C18" i="2"/>
  <c r="J476" i="1"/>
  <c r="H626" i="1" s="1"/>
  <c r="D29" i="13"/>
  <c r="C29" i="13" s="1"/>
  <c r="K338" i="1"/>
  <c r="K352" i="1" s="1"/>
  <c r="H25" i="13"/>
  <c r="C25" i="13" s="1"/>
  <c r="C32" i="10"/>
  <c r="H33" i="13"/>
  <c r="D7" i="13"/>
  <c r="C7" i="13" s="1"/>
  <c r="C110" i="2"/>
  <c r="C115" i="2" s="1"/>
  <c r="C124" i="2"/>
  <c r="C128" i="2" s="1"/>
  <c r="H647" i="1"/>
  <c r="J647" i="1" s="1"/>
  <c r="D15" i="13"/>
  <c r="C15" i="13" s="1"/>
  <c r="F662" i="1"/>
  <c r="I662" i="1" s="1"/>
  <c r="H52" i="1"/>
  <c r="H619" i="1" s="1"/>
  <c r="J619" i="1" s="1"/>
  <c r="D145" i="2"/>
  <c r="E119" i="2"/>
  <c r="E128" i="2" s="1"/>
  <c r="E145" i="2" s="1"/>
  <c r="C10" i="10"/>
  <c r="L290" i="1"/>
  <c r="L211" i="1"/>
  <c r="L257" i="1" s="1"/>
  <c r="L271" i="1" s="1"/>
  <c r="G632" i="1" s="1"/>
  <c r="J632" i="1" s="1"/>
  <c r="D6" i="13"/>
  <c r="C6" i="13" s="1"/>
  <c r="C11" i="10"/>
  <c r="C81" i="2"/>
  <c r="C62" i="2"/>
  <c r="C63" i="2" s="1"/>
  <c r="F112" i="1"/>
  <c r="J62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E33" i="13" l="1"/>
  <c r="D35" i="13" s="1"/>
  <c r="C144" i="2"/>
  <c r="C145" i="2" s="1"/>
  <c r="H664" i="1"/>
  <c r="H672" i="1" s="1"/>
  <c r="C6" i="10" s="1"/>
  <c r="H646" i="1"/>
  <c r="J646" i="1" s="1"/>
  <c r="G104" i="2"/>
  <c r="F660" i="1"/>
  <c r="F664" i="1" s="1"/>
  <c r="F672" i="1" s="1"/>
  <c r="C4" i="10" s="1"/>
  <c r="C28" i="10"/>
  <c r="D24" i="10" s="1"/>
  <c r="G667" i="1"/>
  <c r="D31" i="13"/>
  <c r="C31" i="13" s="1"/>
  <c r="L338" i="1"/>
  <c r="L352" i="1" s="1"/>
  <c r="G633" i="1" s="1"/>
  <c r="J633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D23" i="10"/>
  <c r="D18" i="10"/>
  <c r="D26" i="10"/>
  <c r="D15" i="10"/>
  <c r="C30" i="10"/>
  <c r="D25" i="10"/>
  <c r="D10" i="10"/>
  <c r="D20" i="10"/>
  <c r="D12" i="10"/>
  <c r="D21" i="10"/>
  <c r="D13" i="10"/>
  <c r="D16" i="10"/>
  <c r="D19" i="10"/>
  <c r="D11" i="10"/>
  <c r="D22" i="10"/>
  <c r="D27" i="10"/>
  <c r="D17" i="10"/>
  <c r="D33" i="13"/>
  <c r="D36" i="13" s="1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<sst xmlns="http://schemas.openxmlformats.org/spreadsheetml/2006/main" count="3956" uniqueCount="914">
  <si>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</si>
  <si>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</si>
  <si>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</si>
  <si>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</si>
  <si>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</si>
  <si>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</si>
  <si>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</si>
  <si>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</si>
  <si>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</si>
  <si>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</si>
  <si>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</si>
  <si>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</si>
  <si>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</si>
  <si>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</si>
  <si>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</si>
  <si>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</si>
  <si>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</si>
  <si>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</si>
  <si>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</si>
  <si>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</si>
  <si>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</si>
  <si>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</si>
  <si>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</si>
  <si>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</si>
  <si>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</si>
  <si>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</si>
  <si>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</si>
  <si>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</si>
  <si>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</si>
  <si>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</si>
  <si>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</si>
  <si>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</si>
  <si>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</si>
  <si>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</si>
  <si>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</si>
  <si>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</si>
  <si>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</si>
  <si>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</si>
  <si>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</si>
  <si>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</si>
  <si>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</si>
  <si>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</si>
  <si>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</si>
  <si>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</si>
  <si>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</si>
  <si>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</si>
  <si>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</si>
  <si>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</si>
  <si>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</si>
  <si>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</si>
  <si>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</si>
  <si>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</si>
  <si>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</si>
  <si>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</si>
  <si>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</si>
  <si>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</si>
  <si>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</si>
  <si>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</si>
  <si>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</si>
  <si>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</si>
  <si>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</si>
  <si>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</si>
  <si>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</si>
  <si>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</si>
  <si>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</si>
  <si>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</si>
  <si>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</si>
  <si>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</si>
  <si>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</si>
  <si>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</si>
  <si>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</si>
  <si>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</si>
  <si>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</si>
  <si>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</si>
  <si>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</si>
  <si>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</si>
  <si>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</si>
  <si>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</si>
  <si>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</si>
  <si>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</si>
  <si>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</si>
  <si>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</si>
  <si>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</si>
  <si>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</si>
  <si>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</si>
  <si>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</si>
  <si>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</si>
  <si>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</si>
  <si>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</si>
  <si>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</si>
  <si>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</si>
  <si>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</si>
  <si>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</si>
  <si>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</si>
  <si>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</si>
  <si>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</si>
  <si>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</si>
  <si>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</si>
  <si>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</si>
  <si>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</si>
  <si>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</si>
  <si>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</si>
  <si>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</si>
  <si>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</si>
  <si>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</si>
  <si>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</si>
  <si>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</si>
  <si>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</si>
  <si>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</si>
  <si>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</si>
  <si>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</si>
  <si>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</si>
  <si>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</si>
  <si>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</si>
  <si>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</si>
  <si>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</si>
  <si>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</si>
  <si>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</si>
  <si>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</si>
  <si>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</si>
  <si>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</si>
  <si>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</si>
  <si>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</si>
  <si>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</si>
  <si>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</si>
  <si>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</si>
  <si>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</si>
  <si>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</si>
  <si>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</si>
  <si>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</si>
  <si>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</si>
  <si>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</si>
  <si>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</si>
  <si>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</si>
  <si>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</si>
  <si>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</si>
  <si>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</si>
  <si>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</si>
  <si>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</si>
  <si>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</si>
  <si>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</si>
  <si>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</si>
  <si>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</si>
  <si>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</si>
  <si>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</si>
  <si>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</si>
  <si>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</si>
  <si>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</si>
  <si>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</si>
  <si>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</si>
  <si>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</si>
  <si>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</si>
  <si>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</si>
  <si>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</si>
  <si>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</si>
  <si>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</si>
  <si>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</si>
  <si>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</si>
  <si>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</si>
  <si>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</si>
  <si>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</si>
  <si>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</si>
  <si>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</si>
  <si>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</si>
  <si>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</si>
  <si>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</si>
  <si>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</si>
  <si>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</si>
  <si>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</si>
  <si>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</si>
  <si>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</si>
  <si>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</si>
  <si>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</si>
  <si>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</si>
  <si>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</si>
  <si>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</si>
  <si>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</si>
  <si>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</si>
  <si>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</si>
  <si>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</si>
  <si>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</si>
  <si>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</si>
  <si>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</si>
  <si>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</si>
  <si>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</si>
  <si>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</si>
  <si>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</si>
  <si>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</si>
  <si>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</si>
  <si>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</si>
  <si>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</si>
  <si>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</si>
  <si>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</si>
  <si>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</si>
  <si>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</si>
  <si>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</si>
  <si>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</si>
  <si>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</si>
  <si>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</si>
  <si>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</si>
  <si>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</si>
  <si>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</si>
  <si>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</si>
  <si>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</si>
  <si>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</si>
  <si>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</si>
  <si>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</si>
  <si>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</si>
  <si>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</si>
  <si>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</si>
  <si>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</si>
  <si>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</si>
  <si>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</si>
  <si>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</si>
  <si>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</si>
  <si>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</si>
  <si>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</si>
  <si>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</si>
  <si>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</si>
  <si>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</si>
  <si>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</si>
  <si>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</si>
  <si>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</si>
  <si>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</si>
  <si>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</si>
  <si>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</si>
  <si>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</si>
  <si>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</si>
  <si>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</si>
  <si>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</si>
  <si>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</si>
  <si>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</si>
  <si>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</si>
  <si>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</si>
  <si>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</si>
  <si>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</si>
  <si>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</si>
  <si>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</si>
  <si>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</si>
  <si>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</si>
  <si>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</si>
  <si>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</si>
  <si>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</si>
  <si>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</si>
  <si>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</si>
  <si>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</si>
  <si>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</si>
  <si>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</si>
  <si>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</si>
  <si>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</si>
  <si>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</si>
  <si>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</si>
  <si>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</si>
  <si>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</si>
  <si>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</si>
  <si>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</si>
  <si>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</si>
  <si>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</si>
  <si>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</si>
  <si>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</si>
  <si>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</si>
  <si>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</si>
  <si>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</si>
  <si>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</si>
  <si>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</si>
  <si>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</si>
  <si>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</si>
  <si>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</si>
  <si>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</si>
  <si>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</si>
  <si>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</si>
  <si>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</si>
  <si>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</si>
  <si>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</si>
  <si>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</si>
  <si>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</si>
  <si>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</si>
  <si>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</si>
  <si>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</si>
  <si>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</si>
  <si>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</si>
  <si>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</si>
  <si>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</si>
  <si>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</si>
  <si>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</si>
  <si>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</si>
  <si>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</si>
  <si>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</si>
  <si>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</si>
  <si>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</si>
  <si>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</si>
  <si>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</si>
  <si>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</si>
  <si>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</si>
  <si>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</si>
  <si>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</si>
  <si>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</si>
  <si>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</si>
  <si>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</si>
  <si>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</si>
  <si>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</si>
  <si>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</si>
  <si>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</si>
  <si>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</si>
  <si>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</si>
  <si>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</si>
  <si>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</si>
  <si>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</si>
  <si>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</si>
  <si>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</si>
  <si>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</si>
  <si>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</si>
  <si>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</si>
  <si>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</si>
  <si>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</si>
  <si>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</si>
  <si>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</si>
  <si>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</si>
  <si>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</si>
  <si>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</si>
  <si>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</si>
  <si>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</si>
  <si>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</si>
  <si>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</si>
  <si>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</si>
  <si>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</si>
  <si>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</si>
  <si>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</si>
  <si>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</si>
  <si>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</si>
  <si>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</si>
  <si>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</si>
  <si>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</si>
  <si>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</si>
  <si>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</si>
  <si>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</si>
  <si>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</si>
  <si>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</si>
  <si>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</si>
  <si>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</si>
  <si>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</si>
  <si>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</si>
  <si>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</si>
  <si>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</si>
  <si>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</si>
  <si>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</si>
  <si>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</si>
  <si>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</si>
  <si>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</si>
  <si>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</si>
  <si>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</si>
  <si>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</si>
  <si>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</si>
  <si>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</si>
  <si>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</si>
  <si>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</si>
  <si>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</si>
  <si>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</si>
  <si>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</si>
  <si>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</si>
  <si>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</si>
  <si>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</si>
  <si>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</si>
  <si>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</si>
  <si>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</si>
  <si>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</si>
  <si>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</si>
  <si>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</si>
  <si>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</si>
  <si>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</si>
  <si>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</si>
  <si>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</si>
  <si>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</si>
  <si>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</si>
  <si>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</si>
  <si>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</si>
  <si>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</si>
  <si>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</si>
  <si>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</si>
  <si>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</si>
  <si>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</si>
  <si>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</si>
  <si>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</si>
  <si>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</si>
  <si>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</si>
  <si>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</si>
  <si>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</si>
  <si>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</si>
  <si>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</si>
  <si>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</si>
  <si>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</si>
  <si>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</si>
  <si>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</si>
  <si>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</si>
  <si>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</si>
  <si>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</si>
  <si>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</si>
  <si>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</si>
  <si>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</si>
  <si>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</si>
  <si>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</si>
  <si>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</si>
  <si>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</si>
  <si>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</si>
  <si>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</si>
  <si>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</si>
  <si>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</si>
  <si>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</si>
  <si>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</si>
  <si>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</si>
  <si>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</si>
  <si>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</si>
  <si>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</si>
  <si>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</si>
  <si>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</si>
  <si>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</si>
  <si>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</si>
  <si>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</si>
  <si>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</si>
  <si>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</si>
  <si>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</si>
  <si>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</si>
  <si>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</si>
  <si>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</si>
  <si>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</si>
  <si>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</si>
  <si>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</si>
  <si>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</si>
  <si>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</si>
  <si>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</si>
  <si>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</si>
  <si>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</si>
  <si>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</si>
  <si>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</si>
  <si>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</si>
  <si>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</si>
  <si>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</si>
  <si>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</si>
  <si>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</si>
  <si>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</si>
  <si>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</si>
  <si>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</si>
  <si>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</si>
  <si>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</si>
  <si>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</si>
  <si>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</si>
  <si>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</si>
  <si>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</si>
  <si>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</si>
  <si>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</si>
  <si>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</si>
  <si>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</si>
  <si>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</si>
  <si>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</si>
  <si>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</si>
  <si>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</si>
  <si>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</si>
  <si>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</si>
  <si>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</si>
  <si>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</si>
  <si>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</si>
  <si>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</si>
  <si>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</si>
  <si>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</si>
  <si>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</si>
  <si>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</si>
  <si>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</si>
  <si>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</si>
  <si>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</si>
  <si>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</si>
  <si>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</si>
  <si>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</si>
  <si>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</si>
  <si>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</si>
  <si>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</si>
  <si>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</si>
  <si>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</si>
  <si>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</si>
  <si>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</si>
  <si>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</si>
  <si>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</si>
  <si>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</si>
  <si>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</si>
  <si>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</si>
  <si>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</si>
  <si>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</si>
  <si>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</si>
  <si>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</si>
  <si>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</si>
  <si>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</si>
  <si>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</si>
  <si>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</si>
  <si>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</si>
  <si>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</si>
  <si>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</si>
  <si>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</si>
  <si>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</si>
  <si>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</si>
  <si>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</si>
  <si>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</si>
  <si>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</si>
  <si>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</si>
  <si>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</si>
  <si>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</si>
  <si>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</si>
  <si>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</si>
  <si>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</si>
  <si>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</si>
  <si>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</si>
  <si>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</si>
  <si>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</si>
  <si>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</si>
  <si>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</si>
  <si>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</si>
  <si>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</si>
  <si>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</si>
  <si>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</si>
  <si>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</si>
  <si>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</si>
  <si>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</si>
  <si>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</si>
  <si>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</si>
  <si>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</si>
  <si>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</si>
  <si>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</si>
  <si>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</si>
  <si>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</si>
  <si>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</si>
  <si>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</si>
  <si>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</si>
  <si>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</si>
  <si>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</si>
  <si>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</si>
  <si>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</si>
  <si>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</si>
  <si>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</si>
  <si>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</si>
  <si>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</si>
  <si>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</si>
  <si>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</si>
  <si>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</si>
  <si>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</si>
  <si>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</si>
  <si>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</si>
  <si>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</si>
  <si>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</si>
  <si>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</si>
  <si>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</si>
  <si>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</si>
  <si>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</si>
  <si>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</si>
  <si>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</si>
  <si>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</si>
  <si>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</si>
  <si>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</si>
  <si>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</si>
  <si>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</si>
  <si>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</si>
  <si>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</si>
  <si>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</si>
  <si>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</si>
  <si>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</si>
  <si>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</si>
  <si>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</si>
  <si>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</si>
  <si>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</si>
  <si>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</si>
  <si>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</si>
  <si>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</si>
  <si>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</si>
  <si>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</si>
  <si>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</si>
  <si>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</si>
  <si>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</si>
  <si>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</si>
  <si>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</si>
  <si>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</si>
  <si>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</si>
  <si>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</si>
  <si>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</si>
  <si>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</si>
  <si>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</si>
  <si>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</si>
  <si>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</si>
  <si>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</si>
  <si>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</si>
  <si>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</si>
  <si>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</si>
  <si>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</si>
  <si>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</si>
  <si>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</si>
  <si>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</si>
  <si>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</si>
  <si>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</si>
  <si>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</si>
  <si>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</si>
  <si>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</si>
  <si>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</si>
  <si>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</si>
  <si>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</si>
  <si>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</si>
  <si>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</si>
  <si>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</si>
  <si>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</si>
  <si>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</si>
  <si>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</si>
  <si>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</si>
  <si>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</si>
  <si>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</si>
  <si>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</si>
  <si>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</si>
  <si>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</si>
  <si>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</si>
  <si>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</si>
  <si>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</si>
  <si>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</si>
  <si>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</si>
  <si>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</si>
  <si>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</si>
  <si>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</si>
  <si>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</si>
  <si>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</si>
  <si>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</si>
  <si>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</si>
  <si>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</si>
  <si>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</si>
  <si>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</si>
  <si>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</si>
  <si>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</si>
  <si>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</si>
  <si>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</si>
  <si>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</si>
  <si>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</si>
  <si>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</si>
  <si>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</si>
  <si>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</si>
  <si>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</si>
  <si>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</si>
  <si>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</si>
  <si>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</si>
  <si>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</si>
  <si>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</si>
  <si>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</si>
  <si>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</si>
  <si>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</si>
  <si>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</si>
  <si>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</si>
  <si>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</si>
  <si>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</si>
  <si>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</si>
  <si>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</si>
  <si>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</si>
  <si>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</si>
  <si>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</si>
  <si>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</si>
  <si>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</si>
  <si>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</si>
  <si>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</si>
  <si>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</si>
  <si>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</si>
  <si>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</si>
  <si>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</si>
  <si>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</si>
  <si>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</si>
  <si>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</si>
  <si>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</si>
  <si>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</si>
  <si>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</si>
  <si>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</si>
  <si>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</si>
  <si>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</si>
  <si>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</si>
  <si>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</si>
  <si>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</si>
  <si>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</si>
  <si>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</si>
  <si>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</si>
  <si>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</si>
  <si>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</si>
  <si>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</si>
  <si>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</si>
  <si>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</si>
  <si>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</si>
  <si>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</si>
  <si>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</si>
  <si>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</si>
  <si>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</si>
  <si>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</si>
  <si>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</si>
  <si>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</si>
  <si>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</si>
  <si>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</si>
  <si>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</si>
  <si>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</si>
  <si>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</si>
  <si>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</si>
  <si>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</si>
  <si>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</si>
  <si>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</si>
  <si>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</si>
  <si>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</si>
  <si>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</si>
  <si>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</si>
  <si>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</si>
  <si>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</si>
  <si>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</si>
  <si>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</si>
  <si>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</si>
  <si>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</si>
  <si>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</si>
  <si>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</si>
  <si>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</si>
  <si>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</si>
  <si>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</si>
  <si>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</si>
  <si>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</si>
  <si>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</si>
  <si>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</si>
  <si>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</si>
  <si>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</si>
  <si>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</si>
  <si>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</si>
  <si>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</si>
  <si>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</si>
  <si>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</si>
  <si>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</si>
  <si>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</si>
  <si>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</si>
  <si>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</si>
  <si>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</si>
  <si>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</si>
  <si>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</si>
  <si>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</si>
  <si>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</si>
  <si>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</si>
  <si>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</si>
  <si>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</si>
  <si>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</si>
  <si>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</si>
  <si>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</si>
  <si>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</si>
  <si>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</si>
  <si>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</si>
  <si>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</si>
  <si>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</si>
  <si>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</si>
  <si>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</si>
  <si>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</si>
  <si>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</si>
  <si>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</si>
  <si>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</si>
  <si>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</si>
  <si>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</si>
  <si>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</si>
  <si>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</si>
  <si>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</si>
  <si>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</si>
  <si>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</si>
  <si>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</si>
  <si>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</si>
  <si>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</si>
  <si>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</si>
  <si>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</si>
  <si>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</si>
  <si>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</si>
  <si>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</si>
  <si>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</si>
  <si>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</si>
  <si>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</si>
  <si>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</si>
  <si>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</si>
  <si>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</si>
  <si>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</si>
  <si>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</si>
  <si>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</si>
  <si>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</si>
  <si>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</si>
  <si>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</si>
  <si>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</si>
  <si>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</si>
  <si>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</si>
  <si>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</si>
  <si>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</si>
  <si>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</si>
  <si>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</si>
  <si>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</si>
  <si>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</si>
  <si>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</si>
  <si>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</si>
  <si>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</si>
  <si>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</si>
  <si>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</si>
  <si>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</si>
  <si>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</si>
  <si>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</si>
  <si>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</si>
  <si>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</si>
  <si>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</si>
  <si>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</si>
  <si>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</si>
  <si>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</si>
  <si>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</si>
  <si>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</si>
  <si>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</si>
  <si>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</si>
  <si>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</si>
  <si>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</si>
  <si>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</si>
  <si>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</si>
  <si>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</si>
  <si>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</si>
  <si>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</si>
  <si>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</si>
  <si>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</si>
  <si>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</si>
  <si>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</si>
  <si>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</si>
  <si>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</si>
  <si>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</si>
  <si>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</si>
  <si>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</si>
  <si>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</si>
  <si>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</si>
  <si>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</si>
  <si>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</si>
  <si>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</si>
  <si>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</si>
  <si>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</si>
  <si>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</si>
  <si>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</si>
  <si>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</si>
  <si>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</si>
  <si>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</si>
  <si>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</si>
  <si>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</si>
  <si>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</si>
  <si>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</si>
  <si>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</si>
  <si>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</si>
  <si>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</si>
  <si>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</si>
  <si>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</si>
  <si>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</si>
  <si>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</si>
  <si>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</si>
  <si>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</si>
  <si>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</si>
  <si>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</si>
  <si>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</si>
  <si>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</si>
  <si>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</si>
  <si>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</si>
  <si>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</si>
  <si>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</si>
  <si>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</si>
  <si>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</si>
  <si>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</si>
  <si>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</si>
  <si>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</si>
  <si>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</si>
  <si>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</si>
  <si>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</si>
  <si>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</si>
  <si>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</si>
  <si>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</si>
  <si>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</si>
  <si>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</si>
  <si>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</si>
  <si>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</si>
  <si>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</si>
  <si>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</si>
  <si>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</si>
  <si>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</si>
  <si>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</si>
  <si>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</si>
  <si>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</si>
  <si>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</si>
  <si>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</si>
  <si>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</si>
  <si>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</si>
  <si>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</si>
  <si>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</si>
  <si>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</si>
  <si>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</si>
  <si>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</si>
  <si>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</si>
  <si>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</si>
  <si>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</si>
  <si>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</si>
  <si>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</si>
  <si>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</si>
  <si>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</si>
  <si>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</si>
  <si>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</si>
  <si>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</si>
  <si>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</si>
  <si>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</si>
  <si>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</si>
  <si>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</si>
  <si>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</si>
  <si>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</si>
  <si>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</si>
  <si>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</si>
  <si>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</si>
  <si>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</si>
  <si>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</si>
  <si>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</si>
  <si>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</si>
  <si>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</si>
  <si>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</si>
  <si>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</si>
  <si>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</si>
  <si>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FY1516 Encumbrance Audit Adjustment</t>
  </si>
  <si>
    <t>Deerfield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</si>
</sst>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66" sqref="F4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127</v>
      </c>
      <c r="C2" s="21">
        <v>127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748858.93</v>
      </c>
      <c r="G9" s="18">
        <v>0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419760.13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110606.21</v>
      </c>
      <c r="G12" s="18">
        <v>3314.72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55113.35</v>
      </c>
      <c r="G13" s="18">
        <v>4311.32</v>
      </c>
      <c r="H13" s="18">
        <v>55379.15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5413.68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914578.49</v>
      </c>
      <c r="G19" s="41">
        <f>SUM(G9:G18)</f>
        <v>13039.72</v>
      </c>
      <c r="H19" s="41">
        <f>SUM(H9:H18)</f>
        <v>55379.15</v>
      </c>
      <c r="I19" s="41">
        <f>SUM(I9:I18)</f>
        <v>0</v>
      </c>
      <c r="J19" s="41">
        <f>SUM(J9:J18)</f>
        <v>419760.13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0</v>
      </c>
      <c r="H22" s="18">
        <v>54377.120000000003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131126.73000000001</v>
      </c>
      <c r="G23" s="18">
        <v>13039.72</v>
      </c>
      <c r="H23" s="18">
        <v>1002.03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9016.7999999999993</v>
      </c>
      <c r="G24" s="18">
        <v>0</v>
      </c>
      <c r="H24" s="18">
        <v>0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0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/>
      <c r="H30" s="18">
        <v>0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23542.29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163685.82</v>
      </c>
      <c r="G32" s="41">
        <f>SUM(G22:G31)</f>
        <v>13039.72</v>
      </c>
      <c r="H32" s="41">
        <f>SUM(H22:H31)</f>
        <v>55379.15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65000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190000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0</v>
      </c>
      <c r="H48" s="18"/>
      <c r="I48" s="18"/>
      <c r="J48" s="13">
        <f>SUM(I459)</f>
        <v>419760.13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16995.59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478897.08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750892.67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419760.13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914578.49</v>
      </c>
      <c r="G52" s="41">
        <f>G51+G32</f>
        <v>13039.72</v>
      </c>
      <c r="H52" s="41">
        <f>H51+H32</f>
        <v>55379.15</v>
      </c>
      <c r="I52" s="41">
        <f>I51+I32</f>
        <v>0</v>
      </c>
      <c r="J52" s="41">
        <f>J51+J32</f>
        <v>419760.13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8581045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8581045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21585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21585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876.09</v>
      </c>
      <c r="G96" s="18"/>
      <c r="H96" s="18"/>
      <c r="I96" s="18"/>
      <c r="J96" s="18">
        <v>1393.01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88897.9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/>
      <c r="H109" s="18">
        <v>0</v>
      </c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7304.43</v>
      </c>
      <c r="G110" s="18">
        <v>283.48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8180.52</v>
      </c>
      <c r="G111" s="41">
        <f>SUM(G96:G110)</f>
        <v>89181.37999999999</v>
      </c>
      <c r="H111" s="41">
        <f>SUM(H96:H110)</f>
        <v>0</v>
      </c>
      <c r="I111" s="41">
        <f>SUM(I96:I110)</f>
        <v>0</v>
      </c>
      <c r="J111" s="41">
        <f>SUM(J96:J110)</f>
        <v>1393.01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8610810.5199999996</v>
      </c>
      <c r="G112" s="41">
        <f>G60+G111</f>
        <v>89181.37999999999</v>
      </c>
      <c r="H112" s="41">
        <f>H60+H79+H94+H111</f>
        <v>0</v>
      </c>
      <c r="I112" s="41">
        <f>I60+I111</f>
        <v>0</v>
      </c>
      <c r="J112" s="41">
        <f>J60+J111</f>
        <v>1393.01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1798211.7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1095785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2893996.7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0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61492.85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2199.34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61492.85</v>
      </c>
      <c r="G136" s="41">
        <f>SUM(G123:G135)</f>
        <v>2199.34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2955489.5500000003</v>
      </c>
      <c r="G140" s="41">
        <f>G121+SUM(G136:G137)</f>
        <v>2199.34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59622.239999999998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61545.8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57173.74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132972.44</v>
      </c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146180.37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0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279152.81</v>
      </c>
      <c r="G162" s="41">
        <f>SUM(G150:G161)</f>
        <v>57173.74</v>
      </c>
      <c r="H162" s="41">
        <f>SUM(H150:H161)</f>
        <v>121168.04000000001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279152.81</v>
      </c>
      <c r="G169" s="41">
        <f>G147+G162+SUM(G163:G168)</f>
        <v>57173.74</v>
      </c>
      <c r="H169" s="41">
        <f>H147+H162+SUM(H163:H168)</f>
        <v>121168.04000000001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29459.38</v>
      </c>
      <c r="H179" s="18"/>
      <c r="I179" s="18"/>
      <c r="J179" s="18">
        <v>45000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29459.38</v>
      </c>
      <c r="H183" s="41">
        <f>SUM(H179:H182)</f>
        <v>0</v>
      </c>
      <c r="I183" s="41">
        <f>SUM(I179:I182)</f>
        <v>0</v>
      </c>
      <c r="J183" s="41">
        <f>SUM(J179:J182)</f>
        <v>45000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38001.050000000003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38001.050000000003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38001.050000000003</v>
      </c>
      <c r="G192" s="41">
        <f>G183+SUM(G188:G191)</f>
        <v>29459.38</v>
      </c>
      <c r="H192" s="41">
        <f>+H183+SUM(H188:H191)</f>
        <v>0</v>
      </c>
      <c r="I192" s="41">
        <f>I177+I183+SUM(I188:I191)</f>
        <v>0</v>
      </c>
      <c r="J192" s="41">
        <f>J183</f>
        <v>45000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11883453.930000002</v>
      </c>
      <c r="G193" s="47">
        <f>G112+G140+G169+G192</f>
        <v>178013.84</v>
      </c>
      <c r="H193" s="47">
        <f>H112+H140+H169+H192</f>
        <v>121168.04000000001</v>
      </c>
      <c r="I193" s="47">
        <f>I112+I140+I169+I192</f>
        <v>0</v>
      </c>
      <c r="J193" s="47">
        <f>J112+J140+J192</f>
        <v>46393.01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2591951.4300000002</v>
      </c>
      <c r="G197" s="18">
        <v>1197365.18</v>
      </c>
      <c r="H197" s="18">
        <v>21618.97</v>
      </c>
      <c r="I197" s="18">
        <v>83976.55</v>
      </c>
      <c r="J197" s="18">
        <v>82388.87</v>
      </c>
      <c r="K197" s="18"/>
      <c r="L197" s="19">
        <f>SUM(F197:K197)</f>
        <v>3977301.0000000005</v>
      </c>
      <c r="M197" s="8">
        <v>4758857.8600000003</v>
      </c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1457107.4</v>
      </c>
      <c r="G198" s="18">
        <v>673118.19</v>
      </c>
      <c r="H198" s="18">
        <v>227979.57</v>
      </c>
      <c r="I198" s="18">
        <v>3599.5</v>
      </c>
      <c r="J198" s="18">
        <v>1276.4100000000001</v>
      </c>
      <c r="K198" s="18"/>
      <c r="L198" s="19">
        <f>SUM(F198:K198)</f>
        <v>2363081.0699999998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29175</v>
      </c>
      <c r="G200" s="18">
        <v>13477.54</v>
      </c>
      <c r="H200" s="18">
        <v>4888</v>
      </c>
      <c r="I200" s="18">
        <v>3852.3</v>
      </c>
      <c r="J200" s="18"/>
      <c r="K200" s="18">
        <v>940</v>
      </c>
      <c r="L200" s="19">
        <f>SUM(F200:K200)</f>
        <v>52332.840000000004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186382</v>
      </c>
      <c r="G202" s="18">
        <v>86100.11</v>
      </c>
      <c r="H202" s="18">
        <v>295989.18</v>
      </c>
      <c r="I202" s="18">
        <v>1387.32</v>
      </c>
      <c r="J202" s="18">
        <v>0</v>
      </c>
      <c r="K202" s="18">
        <v>0</v>
      </c>
      <c r="L202" s="19">
        <f t="shared" ref="L202:L208" si="0">SUM(F202:K202)</f>
        <v>569858.61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96806.26</v>
      </c>
      <c r="G203" s="18">
        <v>44720.15</v>
      </c>
      <c r="H203" s="18">
        <v>36667.21</v>
      </c>
      <c r="I203" s="18">
        <v>6764.82</v>
      </c>
      <c r="J203" s="18">
        <v>91.96</v>
      </c>
      <c r="K203" s="18">
        <v>0</v>
      </c>
      <c r="L203" s="19">
        <f t="shared" si="0"/>
        <v>185050.4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3215.5</v>
      </c>
      <c r="G204" s="18">
        <v>1485.42</v>
      </c>
      <c r="H204" s="18">
        <v>312536.62</v>
      </c>
      <c r="I204" s="18">
        <v>3072.55</v>
      </c>
      <c r="J204" s="18"/>
      <c r="K204" s="18">
        <v>10627.9</v>
      </c>
      <c r="L204" s="19">
        <f t="shared" si="0"/>
        <v>330937.99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303126.87</v>
      </c>
      <c r="G205" s="18">
        <v>140031</v>
      </c>
      <c r="H205" s="18">
        <v>43864.21</v>
      </c>
      <c r="I205" s="18">
        <v>471.9</v>
      </c>
      <c r="J205" s="18">
        <v>0</v>
      </c>
      <c r="K205" s="18">
        <v>2533.9699999999998</v>
      </c>
      <c r="L205" s="19">
        <f t="shared" si="0"/>
        <v>490027.95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160314.68</v>
      </c>
      <c r="G207" s="18">
        <v>74058.179999999993</v>
      </c>
      <c r="H207" s="18">
        <v>164568.79</v>
      </c>
      <c r="I207" s="18">
        <v>104997.93</v>
      </c>
      <c r="J207" s="18">
        <v>8574.2900000000009</v>
      </c>
      <c r="K207" s="18"/>
      <c r="L207" s="19">
        <f t="shared" si="0"/>
        <v>512513.87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450386.38</v>
      </c>
      <c r="I208" s="18"/>
      <c r="J208" s="18"/>
      <c r="K208" s="18"/>
      <c r="L208" s="19">
        <f t="shared" si="0"/>
        <v>450386.38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4828079.1399999997</v>
      </c>
      <c r="G211" s="41">
        <f t="shared" si="1"/>
        <v>2230355.77</v>
      </c>
      <c r="H211" s="41">
        <f t="shared" si="1"/>
        <v>1558498.9299999997</v>
      </c>
      <c r="I211" s="41">
        <f t="shared" si="1"/>
        <v>208122.87</v>
      </c>
      <c r="J211" s="41">
        <f t="shared" si="1"/>
        <v>92331.53</v>
      </c>
      <c r="K211" s="41">
        <f t="shared" si="1"/>
        <v>14101.869999999999</v>
      </c>
      <c r="L211" s="41">
        <f t="shared" si="1"/>
        <v>8931490.1100000013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1986821.64</v>
      </c>
      <c r="I233" s="18"/>
      <c r="J233" s="18"/>
      <c r="K233" s="18"/>
      <c r="L233" s="19">
        <f>SUM(F233:K233)</f>
        <v>1986821.64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496336.7</v>
      </c>
      <c r="I234" s="18"/>
      <c r="J234" s="18"/>
      <c r="K234" s="18"/>
      <c r="L234" s="19">
        <f>SUM(F234:K234)</f>
        <v>496336.7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5429.54</v>
      </c>
      <c r="I238" s="18"/>
      <c r="J238" s="18"/>
      <c r="K238" s="18"/>
      <c r="L238" s="19">
        <f t="shared" ref="L238:L244" si="4">SUM(F238:K238)</f>
        <v>5429.54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200900.85</v>
      </c>
      <c r="I244" s="18"/>
      <c r="J244" s="18"/>
      <c r="K244" s="18"/>
      <c r="L244" s="19">
        <f t="shared" si="4"/>
        <v>200900.85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2689488.73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2689488.73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28000</v>
      </c>
      <c r="I255" s="18"/>
      <c r="J255" s="18"/>
      <c r="K255" s="18"/>
      <c r="L255" s="19">
        <f t="shared" si="6"/>
        <v>28000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28000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28000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4828079.1399999997</v>
      </c>
      <c r="G257" s="41">
        <f t="shared" si="8"/>
        <v>2230355.77</v>
      </c>
      <c r="H257" s="41">
        <f t="shared" si="8"/>
        <v>4275987.66</v>
      </c>
      <c r="I257" s="41">
        <f t="shared" si="8"/>
        <v>208122.87</v>
      </c>
      <c r="J257" s="41">
        <f t="shared" si="8"/>
        <v>92331.53</v>
      </c>
      <c r="K257" s="41">
        <f t="shared" si="8"/>
        <v>14101.869999999999</v>
      </c>
      <c r="L257" s="41">
        <f t="shared" si="8"/>
        <v>11648978.840000002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29459.38</v>
      </c>
      <c r="L263" s="19">
        <f>SUM(F263:K263)</f>
        <v>29459.38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45000</v>
      </c>
      <c r="L266" s="19">
        <f t="shared" si="9"/>
        <v>45000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13942.44</v>
      </c>
      <c r="L268" s="19">
        <f t="shared" si="9"/>
        <v>13942.44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88401.82</v>
      </c>
      <c r="L270" s="41">
        <f t="shared" si="9"/>
        <v>88401.82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4828079.1399999997</v>
      </c>
      <c r="G271" s="42">
        <f t="shared" si="11"/>
        <v>2230355.77</v>
      </c>
      <c r="H271" s="42">
        <f t="shared" si="11"/>
        <v>4275987.66</v>
      </c>
      <c r="I271" s="42">
        <f t="shared" si="11"/>
        <v>208122.87</v>
      </c>
      <c r="J271" s="42">
        <f t="shared" si="11"/>
        <v>92331.53</v>
      </c>
      <c r="K271" s="42">
        <f t="shared" si="11"/>
        <v>102503.69</v>
      </c>
      <c r="L271" s="42">
        <f t="shared" si="11"/>
        <v>11737380.660000002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63627.1</v>
      </c>
      <c r="G276" s="18">
        <v>11640.02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75267.12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23567.72</v>
      </c>
      <c r="G281" s="18">
        <v>3751.33</v>
      </c>
      <c r="H281" s="18">
        <v>0</v>
      </c>
      <c r="I281" s="18">
        <v>0</v>
      </c>
      <c r="J281" s="18"/>
      <c r="K281" s="18">
        <v>0</v>
      </c>
      <c r="L281" s="19">
        <f t="shared" ref="L281:L287" si="12">SUM(F281:K281)</f>
        <v>27319.050000000003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1725</v>
      </c>
      <c r="G282" s="18">
        <v>0</v>
      </c>
      <c r="H282" s="18">
        <v>14600</v>
      </c>
      <c r="I282" s="18">
        <v>0</v>
      </c>
      <c r="J282" s="18"/>
      <c r="K282" s="18"/>
      <c r="L282" s="19">
        <f t="shared" si="12"/>
        <v>16325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2256.87</v>
      </c>
      <c r="L283" s="19">
        <f t="shared" si="12"/>
        <v>2256.87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88919.82</v>
      </c>
      <c r="G290" s="42">
        <f t="shared" si="13"/>
        <v>15391.35</v>
      </c>
      <c r="H290" s="42">
        <f t="shared" si="13"/>
        <v>14600</v>
      </c>
      <c r="I290" s="42">
        <f t="shared" si="13"/>
        <v>0</v>
      </c>
      <c r="J290" s="42">
        <f t="shared" si="13"/>
        <v>0</v>
      </c>
      <c r="K290" s="42">
        <f t="shared" si="13"/>
        <v>2256.87</v>
      </c>
      <c r="L290" s="41">
        <f t="shared" si="13"/>
        <v>121168.04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88919.82</v>
      </c>
      <c r="G338" s="41">
        <f t="shared" si="20"/>
        <v>15391.35</v>
      </c>
      <c r="H338" s="41">
        <f t="shared" si="20"/>
        <v>14600</v>
      </c>
      <c r="I338" s="41">
        <f t="shared" si="20"/>
        <v>0</v>
      </c>
      <c r="J338" s="41">
        <f t="shared" si="20"/>
        <v>0</v>
      </c>
      <c r="K338" s="41">
        <f t="shared" si="20"/>
        <v>2256.87</v>
      </c>
      <c r="L338" s="41">
        <f t="shared" si="20"/>
        <v>121168.04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88919.82</v>
      </c>
      <c r="G352" s="41">
        <f>G338</f>
        <v>15391.35</v>
      </c>
      <c r="H352" s="41">
        <f>H338</f>
        <v>14600</v>
      </c>
      <c r="I352" s="41">
        <f>I338</f>
        <v>0</v>
      </c>
      <c r="J352" s="41">
        <f>J338</f>
        <v>0</v>
      </c>
      <c r="K352" s="47">
        <f>K338+K351</f>
        <v>2256.87</v>
      </c>
      <c r="L352" s="41">
        <f>L338+L351</f>
        <v>121168.04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69801.009999999995</v>
      </c>
      <c r="G358" s="18">
        <v>45786.59</v>
      </c>
      <c r="H358" s="18">
        <v>3500.15</v>
      </c>
      <c r="I358" s="18">
        <v>69884.09</v>
      </c>
      <c r="J358" s="18">
        <v>0</v>
      </c>
      <c r="K358" s="18">
        <v>450</v>
      </c>
      <c r="L358" s="13">
        <f>SUM(F358:K358)</f>
        <v>189421.83999999997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69801.009999999995</v>
      </c>
      <c r="G362" s="47">
        <f t="shared" si="22"/>
        <v>45786.59</v>
      </c>
      <c r="H362" s="47">
        <f t="shared" si="22"/>
        <v>3500.15</v>
      </c>
      <c r="I362" s="47">
        <f t="shared" si="22"/>
        <v>69884.09</v>
      </c>
      <c r="J362" s="47">
        <f t="shared" si="22"/>
        <v>0</v>
      </c>
      <c r="K362" s="47">
        <f t="shared" si="22"/>
        <v>450</v>
      </c>
      <c r="L362" s="47">
        <f t="shared" si="22"/>
        <v>189421.83999999997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63764.55</v>
      </c>
      <c r="G367" s="18"/>
      <c r="H367" s="18"/>
      <c r="I367" s="56">
        <f>SUM(F367:H367)</f>
        <v>63764.55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6119.54</v>
      </c>
      <c r="G368" s="63"/>
      <c r="H368" s="63"/>
      <c r="I368" s="56">
        <f>SUM(F368:H368)</f>
        <v>6119.54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69884.09</v>
      </c>
      <c r="G369" s="47">
        <f>SUM(G367:G368)</f>
        <v>0</v>
      </c>
      <c r="H369" s="47">
        <f>SUM(H367:H368)</f>
        <v>0</v>
      </c>
      <c r="I369" s="47">
        <f>SUM(I367:I368)</f>
        <v>69884.09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552.87</v>
      </c>
      <c r="I396" s="18"/>
      <c r="J396" s="24" t="s">
        <v>288</v>
      </c>
      <c r="K396" s="24" t="s">
        <v>288</v>
      </c>
      <c r="L396" s="56">
        <f t="shared" si="26"/>
        <v>552.87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670.35</v>
      </c>
      <c r="I397" s="18"/>
      <c r="J397" s="24" t="s">
        <v>288</v>
      </c>
      <c r="K397" s="24" t="s">
        <v>288</v>
      </c>
      <c r="L397" s="56">
        <f t="shared" si="26"/>
        <v>670.35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10000</v>
      </c>
      <c r="H399" s="18">
        <v>80.45</v>
      </c>
      <c r="I399" s="18"/>
      <c r="J399" s="24" t="s">
        <v>288</v>
      </c>
      <c r="K399" s="24" t="s">
        <v>288</v>
      </c>
      <c r="L399" s="56">
        <f t="shared" si="26"/>
        <v>10080.450000000001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35000</v>
      </c>
      <c r="H400" s="18">
        <v>89.34</v>
      </c>
      <c r="I400" s="18"/>
      <c r="J400" s="24" t="s">
        <v>288</v>
      </c>
      <c r="K400" s="24" t="s">
        <v>288</v>
      </c>
      <c r="L400" s="56">
        <f t="shared" si="26"/>
        <v>35089.339999999997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45000</v>
      </c>
      <c r="H401" s="47">
        <f>SUM(H395:H400)</f>
        <v>1393.01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46393.009999999995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45000</v>
      </c>
      <c r="H408" s="47">
        <f>H393+H401+H407</f>
        <v>1393.01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46393.009999999995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28000</v>
      </c>
      <c r="L422" s="56">
        <f t="shared" si="29"/>
        <v>28000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>
        <v>10001.049999999999</v>
      </c>
      <c r="L425" s="56">
        <f t="shared" si="29"/>
        <v>10001.049999999999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38001.050000000003</v>
      </c>
      <c r="L427" s="47">
        <f t="shared" si="30"/>
        <v>38001.050000000003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38001.050000000003</v>
      </c>
      <c r="L434" s="47">
        <f t="shared" si="32"/>
        <v>38001.050000000003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419760.13</v>
      </c>
      <c r="H440" s="18"/>
      <c r="I440" s="56">
        <f t="shared" si="33"/>
        <v>419760.13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419760.13</v>
      </c>
      <c r="H446" s="13">
        <f>SUM(H439:H445)</f>
        <v>0</v>
      </c>
      <c r="I446" s="13">
        <f>SUM(I439:I445)</f>
        <v>419760.13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419760.13</v>
      </c>
      <c r="H459" s="18"/>
      <c r="I459" s="56">
        <f t="shared" si="34"/>
        <v>419760.13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419760.13</v>
      </c>
      <c r="H460" s="83">
        <f>SUM(H454:H459)</f>
        <v>0</v>
      </c>
      <c r="I460" s="83">
        <f>SUM(I454:I459)</f>
        <v>419760.13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419760.13</v>
      </c>
      <c r="H461" s="42">
        <f>H452+H460</f>
        <v>0</v>
      </c>
      <c r="I461" s="42">
        <f>I452+I460</f>
        <v>419760.13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628361.68999999994</v>
      </c>
      <c r="G465" s="18">
        <v>11408</v>
      </c>
      <c r="H465" s="18"/>
      <c r="I465" s="18"/>
      <c r="J465" s="18">
        <v>411368.17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11883453.93</v>
      </c>
      <c r="G468" s="18">
        <v>178013.84</v>
      </c>
      <c r="H468" s="18">
        <v>121168.04</v>
      </c>
      <c r="I468" s="18"/>
      <c r="J468" s="18">
        <v>46393.01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>
        <v>0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11883453.93</v>
      </c>
      <c r="G470" s="53">
        <f>SUM(G468:G469)</f>
        <v>178013.84</v>
      </c>
      <c r="H470" s="53">
        <f>SUM(H468:H469)</f>
        <v>121168.04</v>
      </c>
      <c r="I470" s="53">
        <f>SUM(I468:I469)</f>
        <v>0</v>
      </c>
      <c r="J470" s="53">
        <f>SUM(J468:J469)</f>
        <v>46393.01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11737380.66</v>
      </c>
      <c r="G472" s="18">
        <v>189421.84</v>
      </c>
      <c r="H472" s="18">
        <v>121168.04</v>
      </c>
      <c r="I472" s="18"/>
      <c r="J472" s="18">
        <v>38001.050000000003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23542.29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11760922.949999999</v>
      </c>
      <c r="G474" s="53">
        <f>SUM(G472:G473)</f>
        <v>189421.84</v>
      </c>
      <c r="H474" s="53">
        <f>SUM(H472:H473)</f>
        <v>121168.04</v>
      </c>
      <c r="I474" s="53">
        <f>SUM(I472:I473)</f>
        <v>0</v>
      </c>
      <c r="J474" s="53">
        <f>SUM(J472:J473)</f>
        <v>38001.050000000003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750892.66999999993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419760.13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912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</f>
        <v>1457107.4</v>
      </c>
      <c r="G521" s="18">
        <f t="shared" ref="G521:K521" si="36">G198</f>
        <v>673118.19</v>
      </c>
      <c r="H521" s="18">
        <f t="shared" si="36"/>
        <v>227979.57</v>
      </c>
      <c r="I521" s="18">
        <f t="shared" si="36"/>
        <v>3599.5</v>
      </c>
      <c r="J521" s="18">
        <f t="shared" si="36"/>
        <v>1276.4100000000001</v>
      </c>
      <c r="K521" s="18">
        <f t="shared" si="36"/>
        <v>0</v>
      </c>
      <c r="L521" s="88">
        <f>SUM(F521:K521)</f>
        <v>2363081.0699999998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H234</f>
        <v>496336.7</v>
      </c>
      <c r="I523" s="18"/>
      <c r="J523" s="18"/>
      <c r="K523" s="18"/>
      <c r="L523" s="88">
        <f>SUM(F523:K523)</f>
        <v>496336.7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1457107.4</v>
      </c>
      <c r="G524" s="108">
        <f t="shared" ref="G524:L524" si="37">SUM(G521:G523)</f>
        <v>673118.19</v>
      </c>
      <c r="H524" s="108">
        <f t="shared" si="37"/>
        <v>724316.27</v>
      </c>
      <c r="I524" s="108">
        <f t="shared" si="37"/>
        <v>3599.5</v>
      </c>
      <c r="J524" s="108">
        <f t="shared" si="37"/>
        <v>1276.4100000000001</v>
      </c>
      <c r="K524" s="108">
        <f t="shared" si="37"/>
        <v>0</v>
      </c>
      <c r="L524" s="89">
        <f t="shared" si="37"/>
        <v>2859417.77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H202</f>
        <v>295989.18</v>
      </c>
      <c r="I526" s="18"/>
      <c r="J526" s="18"/>
      <c r="K526" s="18"/>
      <c r="L526" s="88">
        <f>SUM(F526:K526)</f>
        <v>295989.18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f>H238</f>
        <v>5429.54</v>
      </c>
      <c r="I528" s="18"/>
      <c r="J528" s="18"/>
      <c r="K528" s="18"/>
      <c r="L528" s="88">
        <f>SUM(F528:K528)</f>
        <v>5429.54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301418.71999999997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301418.71999999997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15335.65</v>
      </c>
      <c r="G531" s="18">
        <v>7460.78</v>
      </c>
      <c r="H531" s="18"/>
      <c r="I531" s="18"/>
      <c r="J531" s="18"/>
      <c r="K531" s="18"/>
      <c r="L531" s="88">
        <f>SUM(F531:K531)</f>
        <v>22796.43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3833.91</v>
      </c>
      <c r="G533" s="18">
        <v>1865.19</v>
      </c>
      <c r="H533" s="18"/>
      <c r="I533" s="18"/>
      <c r="J533" s="18"/>
      <c r="K533" s="18"/>
      <c r="L533" s="88">
        <f>SUM(F533:K533)</f>
        <v>5699.1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19169.559999999998</v>
      </c>
      <c r="G534" s="89">
        <f t="shared" ref="G534:L534" si="39">SUM(G531:G533)</f>
        <v>9325.9699999999993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28495.53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93917.35</v>
      </c>
      <c r="I541" s="18"/>
      <c r="J541" s="18"/>
      <c r="K541" s="18"/>
      <c r="L541" s="88">
        <f>SUM(F541:K541)</f>
        <v>93917.35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36695.1</v>
      </c>
      <c r="I543" s="18"/>
      <c r="J543" s="18"/>
      <c r="K543" s="18"/>
      <c r="L543" s="88">
        <f>SUM(F543:K543)</f>
        <v>36695.1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130612.45000000001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130612.45000000001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1476276.96</v>
      </c>
      <c r="G545" s="89">
        <f t="shared" ref="G545:L545" si="42">G524+G529+G534+G539+G544</f>
        <v>682444.15999999992</v>
      </c>
      <c r="H545" s="89">
        <f t="shared" si="42"/>
        <v>1156347.44</v>
      </c>
      <c r="I545" s="89">
        <f t="shared" si="42"/>
        <v>3599.5</v>
      </c>
      <c r="J545" s="89">
        <f t="shared" si="42"/>
        <v>1276.4100000000001</v>
      </c>
      <c r="K545" s="89">
        <f t="shared" si="42"/>
        <v>0</v>
      </c>
      <c r="L545" s="89">
        <f t="shared" si="42"/>
        <v>3319944.47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2363081.0699999998</v>
      </c>
      <c r="G549" s="87">
        <f>L526</f>
        <v>295989.18</v>
      </c>
      <c r="H549" s="87">
        <f>L531</f>
        <v>22796.43</v>
      </c>
      <c r="I549" s="87">
        <f>L536</f>
        <v>0</v>
      </c>
      <c r="J549" s="87">
        <f>L541</f>
        <v>93917.35</v>
      </c>
      <c r="K549" s="87">
        <f>SUM(F549:J549)</f>
        <v>2775784.0300000003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496336.7</v>
      </c>
      <c r="G551" s="87">
        <f>L528</f>
        <v>5429.54</v>
      </c>
      <c r="H551" s="87">
        <f>L533</f>
        <v>5699.1</v>
      </c>
      <c r="I551" s="87">
        <f>L538</f>
        <v>0</v>
      </c>
      <c r="J551" s="87">
        <f>L543</f>
        <v>36695.1</v>
      </c>
      <c r="K551" s="87">
        <f>SUM(F551:J551)</f>
        <v>544160.43999999994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2859417.77</v>
      </c>
      <c r="G552" s="89">
        <f t="shared" si="43"/>
        <v>301418.71999999997</v>
      </c>
      <c r="H552" s="89">
        <f t="shared" si="43"/>
        <v>28495.53</v>
      </c>
      <c r="I552" s="89">
        <f t="shared" si="43"/>
        <v>0</v>
      </c>
      <c r="J552" s="89">
        <f t="shared" si="43"/>
        <v>130612.45000000001</v>
      </c>
      <c r="K552" s="89">
        <f t="shared" si="43"/>
        <v>3319944.47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1986821.64</v>
      </c>
      <c r="I575" s="87">
        <f>SUM(F575:H575)</f>
        <v>1986821.64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>
        <v>12546</v>
      </c>
      <c r="I578" s="87">
        <f t="shared" si="48"/>
        <v>12546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56319.28</v>
      </c>
      <c r="G579" s="18"/>
      <c r="H579" s="18">
        <v>102735.61</v>
      </c>
      <c r="I579" s="87">
        <f t="shared" si="48"/>
        <v>159054.89000000001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362509.59</v>
      </c>
      <c r="I581" s="87">
        <f t="shared" si="48"/>
        <v>362509.59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115298.08</v>
      </c>
      <c r="G583" s="18"/>
      <c r="H583" s="18"/>
      <c r="I583" s="87">
        <f t="shared" si="48"/>
        <v>115298.08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344593.96</v>
      </c>
      <c r="I591" s="18"/>
      <c r="J591" s="18">
        <v>164205.75</v>
      </c>
      <c r="K591" s="104">
        <f t="shared" ref="K591:K597" si="49">SUM(H591:J591)</f>
        <v>508799.71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93917.35</v>
      </c>
      <c r="I592" s="18"/>
      <c r="J592" s="18">
        <v>36695.1</v>
      </c>
      <c r="K592" s="104">
        <f t="shared" si="49"/>
        <v>130612.45000000001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4945.41</v>
      </c>
      <c r="I594" s="18"/>
      <c r="J594" s="18"/>
      <c r="K594" s="104">
        <f t="shared" si="49"/>
        <v>4945.41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6929.66</v>
      </c>
      <c r="I595" s="18"/>
      <c r="J595" s="18"/>
      <c r="K595" s="104">
        <f t="shared" si="49"/>
        <v>6929.66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450386.38</v>
      </c>
      <c r="I598" s="108">
        <f>SUM(I591:I597)</f>
        <v>0</v>
      </c>
      <c r="J598" s="108">
        <f>SUM(J591:J597)</f>
        <v>200900.85</v>
      </c>
      <c r="K598" s="108">
        <f>SUM(K591:K597)</f>
        <v>651287.2300000001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92331.53</v>
      </c>
      <c r="I604" s="18"/>
      <c r="J604" s="18"/>
      <c r="K604" s="104">
        <f>SUM(H604:J604)</f>
        <v>92331.53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92331.53</v>
      </c>
      <c r="I605" s="108">
        <f>SUM(I602:I604)</f>
        <v>0</v>
      </c>
      <c r="J605" s="108">
        <f>SUM(J602:J604)</f>
        <v>0</v>
      </c>
      <c r="K605" s="108">
        <f>SUM(K602:K604)</f>
        <v>92331.53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914578.49</v>
      </c>
      <c r="H617" s="109">
        <f>SUM(F52)</f>
        <v>914578.49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13039.72</v>
      </c>
      <c r="H618" s="109">
        <f>SUM(G52)</f>
        <v>13039.72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55379.15</v>
      </c>
      <c r="H619" s="109">
        <f>SUM(H52)</f>
        <v>55379.15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419760.13</v>
      </c>
      <c r="H621" s="109">
        <f>SUM(J52)</f>
        <v>419760.13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750892.67</v>
      </c>
      <c r="H622" s="109">
        <f>F476</f>
        <v>750892.66999999993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419760.13</v>
      </c>
      <c r="H626" s="109">
        <f>J476</f>
        <v>419760.13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11883453.930000002</v>
      </c>
      <c r="H627" s="104">
        <f>SUM(F468)</f>
        <v>11883453.93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178013.84</v>
      </c>
      <c r="H628" s="104">
        <f>SUM(G468)</f>
        <v>178013.84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121168.04000000001</v>
      </c>
      <c r="H629" s="104">
        <f>SUM(H468)</f>
        <v>121168.04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46393.01</v>
      </c>
      <c r="H631" s="104">
        <f>SUM(J468)</f>
        <v>46393.01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11737380.660000002</v>
      </c>
      <c r="H632" s="104">
        <f>SUM(F472)</f>
        <v>11737380.66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121168.04</v>
      </c>
      <c r="H633" s="104">
        <f>SUM(H472)</f>
        <v>121168.04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69884.09</v>
      </c>
      <c r="H634" s="104">
        <f>I369</f>
        <v>69884.09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189421.83999999997</v>
      </c>
      <c r="H635" s="104">
        <f>SUM(G472)</f>
        <v>189421.84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46393.009999999995</v>
      </c>
      <c r="H637" s="164">
        <f>SUM(J468)</f>
        <v>46393.01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38001.050000000003</v>
      </c>
      <c r="H638" s="164">
        <f>SUM(J472)</f>
        <v>38001.050000000003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419760.13</v>
      </c>
      <c r="H640" s="104">
        <f>SUM(G461)</f>
        <v>419760.13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419760.13</v>
      </c>
      <c r="H642" s="104">
        <f>SUM(I461)</f>
        <v>419760.13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1393.01</v>
      </c>
      <c r="H644" s="104">
        <f>H408</f>
        <v>1393.01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45000</v>
      </c>
      <c r="H645" s="104">
        <f>G408</f>
        <v>45000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46393.01</v>
      </c>
      <c r="H646" s="104">
        <f>L408</f>
        <v>46393.009999999995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651287.2300000001</v>
      </c>
      <c r="H647" s="104">
        <f>L208+L226+L244</f>
        <v>651287.23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92331.53</v>
      </c>
      <c r="H648" s="104">
        <f>(J257+J338)-(J255+J336)</f>
        <v>92331.53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450386.38</v>
      </c>
      <c r="H649" s="104">
        <f>H598</f>
        <v>450386.38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200900.85</v>
      </c>
      <c r="H651" s="104">
        <f>J598</f>
        <v>200900.85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29459.38</v>
      </c>
      <c r="H652" s="104">
        <f>K263+K345</f>
        <v>29459.38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45000</v>
      </c>
      <c r="H655" s="104">
        <f>K266+K347</f>
        <v>45000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9242079.9900000002</v>
      </c>
      <c r="G660" s="19">
        <f>(L229+L309+L359)</f>
        <v>0</v>
      </c>
      <c r="H660" s="19">
        <f>(L247+L328+L360)</f>
        <v>2689488.73</v>
      </c>
      <c r="I660" s="19">
        <f>SUM(F660:H660)</f>
        <v>11931568.720000001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89181.37999999999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89181.37999999999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450386.38</v>
      </c>
      <c r="G662" s="19">
        <f>(L226+L306)-(J226+J306)</f>
        <v>0</v>
      </c>
      <c r="H662" s="19">
        <f>(L244+L325)-(J244+J325)</f>
        <v>200900.85</v>
      </c>
      <c r="I662" s="19">
        <f>SUM(F662:H662)</f>
        <v>651287.23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263948.89</v>
      </c>
      <c r="G663" s="199">
        <f>SUM(G575:G587)+SUM(I602:I604)+L612</f>
        <v>0</v>
      </c>
      <c r="H663" s="199">
        <f>SUM(H575:H587)+SUM(J602:J604)+L613</f>
        <v>2464612.84</v>
      </c>
      <c r="I663" s="19">
        <f>SUM(F663:H663)</f>
        <v>2728561.73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8438563.3399999999</v>
      </c>
      <c r="G664" s="19">
        <f>G660-SUM(G661:G663)</f>
        <v>0</v>
      </c>
      <c r="H664" s="19">
        <f>H660-SUM(H661:H663)</f>
        <v>23975.040000000037</v>
      </c>
      <c r="I664" s="19">
        <f>I660-SUM(I661:I663)</f>
        <v>8462538.3800000008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487.13</v>
      </c>
      <c r="G665" s="248"/>
      <c r="H665" s="248"/>
      <c r="I665" s="19">
        <f>SUM(F665:H665)</f>
        <v>487.13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17323.02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17372.240000000002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-23975.040000000001</v>
      </c>
      <c r="I669" s="19">
        <f>SUM(F669:H669)</f>
        <v>-23975.040000000001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17323.02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17323.02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F51" sqref="F5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Deerfield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2655578.5300000003</v>
      </c>
      <c r="C9" s="229">
        <f>'DOE25'!G197+'DOE25'!G215+'DOE25'!G233+'DOE25'!G276+'DOE25'!G295+'DOE25'!G314</f>
        <v>1209005.2</v>
      </c>
    </row>
    <row r="10" spans="1:3" x14ac:dyDescent="0.2">
      <c r="A10" t="s">
        <v>778</v>
      </c>
      <c r="B10" s="240">
        <v>2472261.12</v>
      </c>
      <c r="C10" s="240">
        <v>1125546.29</v>
      </c>
    </row>
    <row r="11" spans="1:3" x14ac:dyDescent="0.2">
      <c r="A11" t="s">
        <v>779</v>
      </c>
      <c r="B11" s="240">
        <v>128757.41</v>
      </c>
      <c r="C11" s="240">
        <v>58619.38</v>
      </c>
    </row>
    <row r="12" spans="1:3" x14ac:dyDescent="0.2">
      <c r="A12" t="s">
        <v>780</v>
      </c>
      <c r="B12" s="240">
        <v>54560</v>
      </c>
      <c r="C12" s="240">
        <v>24839.53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2655578.5300000003</v>
      </c>
      <c r="C13" s="231">
        <f>SUM(C10:C12)</f>
        <v>1209005.2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1457107.4</v>
      </c>
      <c r="C18" s="229">
        <f>'DOE25'!G198+'DOE25'!G216+'DOE25'!G234+'DOE25'!G277+'DOE25'!G296+'DOE25'!G315</f>
        <v>673118.19</v>
      </c>
    </row>
    <row r="19" spans="1:3" x14ac:dyDescent="0.2">
      <c r="A19" t="s">
        <v>778</v>
      </c>
      <c r="B19" s="240">
        <v>697051.59</v>
      </c>
      <c r="C19" s="240">
        <v>322006.53000000003</v>
      </c>
    </row>
    <row r="20" spans="1:3" x14ac:dyDescent="0.2">
      <c r="A20" t="s">
        <v>779</v>
      </c>
      <c r="B20" s="240">
        <v>644485.24</v>
      </c>
      <c r="C20" s="240">
        <v>297723.24</v>
      </c>
    </row>
    <row r="21" spans="1:3" x14ac:dyDescent="0.2">
      <c r="A21" t="s">
        <v>780</v>
      </c>
      <c r="B21" s="240">
        <v>115570.57</v>
      </c>
      <c r="C21" s="240">
        <v>53388.42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1457107.4000000001</v>
      </c>
      <c r="C22" s="231">
        <f>SUM(C19:C21)</f>
        <v>673118.19000000006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29175</v>
      </c>
      <c r="C36" s="235">
        <f>'DOE25'!G200+'DOE25'!G218+'DOE25'!G236+'DOE25'!G279+'DOE25'!G298+'DOE25'!G317</f>
        <v>13477.54</v>
      </c>
    </row>
    <row r="37" spans="1:3" x14ac:dyDescent="0.2">
      <c r="A37" t="s">
        <v>778</v>
      </c>
      <c r="B37" s="240">
        <v>29175</v>
      </c>
      <c r="C37" s="240">
        <v>13477.54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29175</v>
      </c>
      <c r="C40" s="231">
        <f>SUM(C37:C39)</f>
        <v>13477.54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51" sqref="F51"/>
      <selection pane="bottomLeft" activeCell="F51" sqref="F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Deerfield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8875873.25</v>
      </c>
      <c r="D5" s="20">
        <f>SUM('DOE25'!L197:L200)+SUM('DOE25'!L215:L218)+SUM('DOE25'!L233:L236)-F5-G5</f>
        <v>8791267.9700000007</v>
      </c>
      <c r="E5" s="243"/>
      <c r="F5" s="255">
        <f>SUM('DOE25'!J197:J200)+SUM('DOE25'!J215:J218)+SUM('DOE25'!J233:J236)</f>
        <v>83665.279999999999</v>
      </c>
      <c r="G5" s="53">
        <f>SUM('DOE25'!K197:K200)+SUM('DOE25'!K215:K218)+SUM('DOE25'!K233:K236)</f>
        <v>940</v>
      </c>
      <c r="H5" s="259"/>
    </row>
    <row r="6" spans="1:9" x14ac:dyDescent="0.2">
      <c r="A6" s="32">
        <v>2100</v>
      </c>
      <c r="B6" t="s">
        <v>800</v>
      </c>
      <c r="C6" s="245">
        <f t="shared" si="0"/>
        <v>575288.15</v>
      </c>
      <c r="D6" s="20">
        <f>'DOE25'!L202+'DOE25'!L220+'DOE25'!L238-F6-G6</f>
        <v>575288.15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185050.4</v>
      </c>
      <c r="D7" s="20">
        <f>'DOE25'!L203+'DOE25'!L221+'DOE25'!L239-F7-G7</f>
        <v>184958.44</v>
      </c>
      <c r="E7" s="243"/>
      <c r="F7" s="255">
        <f>'DOE25'!J203+'DOE25'!J221+'DOE25'!J239</f>
        <v>91.96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240289.34999999995</v>
      </c>
      <c r="D8" s="243"/>
      <c r="E8" s="20">
        <f>'DOE25'!L204+'DOE25'!L222+'DOE25'!L240-F8-G8-D9-D11</f>
        <v>229661.44999999995</v>
      </c>
      <c r="F8" s="255">
        <f>'DOE25'!J204+'DOE25'!J222+'DOE25'!J240</f>
        <v>0</v>
      </c>
      <c r="G8" s="53">
        <f>'DOE25'!K204+'DOE25'!K222+'DOE25'!K240</f>
        <v>10627.9</v>
      </c>
      <c r="H8" s="259"/>
    </row>
    <row r="9" spans="1:9" x14ac:dyDescent="0.2">
      <c r="A9" s="32">
        <v>2310</v>
      </c>
      <c r="B9" t="s">
        <v>817</v>
      </c>
      <c r="C9" s="245">
        <f t="shared" si="0"/>
        <v>5458.57</v>
      </c>
      <c r="D9" s="244">
        <v>5458.57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6400</v>
      </c>
      <c r="D10" s="243"/>
      <c r="E10" s="244">
        <v>6400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85190.07</v>
      </c>
      <c r="D11" s="244">
        <v>85190.07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490027.95</v>
      </c>
      <c r="D12" s="20">
        <f>'DOE25'!L205+'DOE25'!L223+'DOE25'!L241-F12-G12</f>
        <v>487493.98000000004</v>
      </c>
      <c r="E12" s="243"/>
      <c r="F12" s="255">
        <f>'DOE25'!J205+'DOE25'!J223+'DOE25'!J241</f>
        <v>0</v>
      </c>
      <c r="G12" s="53">
        <f>'DOE25'!K205+'DOE25'!K223+'DOE25'!K241</f>
        <v>2533.9699999999998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512513.87</v>
      </c>
      <c r="D14" s="20">
        <f>'DOE25'!L207+'DOE25'!L225+'DOE25'!L243-F14-G14</f>
        <v>503939.58</v>
      </c>
      <c r="E14" s="243"/>
      <c r="F14" s="255">
        <f>'DOE25'!J207+'DOE25'!J225+'DOE25'!J243</f>
        <v>8574.2900000000009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651287.23</v>
      </c>
      <c r="D15" s="20">
        <f>'DOE25'!L208+'DOE25'!L226+'DOE25'!L244-F15-G15</f>
        <v>651287.23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28000</v>
      </c>
      <c r="D22" s="243"/>
      <c r="E22" s="243"/>
      <c r="F22" s="255">
        <f>'DOE25'!L255+'DOE25'!L336</f>
        <v>28000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125657.28999999996</v>
      </c>
      <c r="D29" s="20">
        <f>'DOE25'!L358+'DOE25'!L359+'DOE25'!L360-'DOE25'!I367-F29-G29</f>
        <v>125207.28999999996</v>
      </c>
      <c r="E29" s="243"/>
      <c r="F29" s="255">
        <f>'DOE25'!J358+'DOE25'!J359+'DOE25'!J360</f>
        <v>0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121168.04</v>
      </c>
      <c r="D31" s="20">
        <f>'DOE25'!L290+'DOE25'!L309+'DOE25'!L328+'DOE25'!L333+'DOE25'!L334+'DOE25'!L335-F31-G31</f>
        <v>118911.17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2256.87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11529002.450000001</v>
      </c>
      <c r="E33" s="246">
        <f>SUM(E5:E31)</f>
        <v>236061.44999999995</v>
      </c>
      <c r="F33" s="246">
        <f>SUM(F5:F31)</f>
        <v>120331.53</v>
      </c>
      <c r="G33" s="246">
        <f>SUM(G5:G31)</f>
        <v>16808.739999999998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236061.44999999995</v>
      </c>
      <c r="E35" s="249"/>
    </row>
    <row r="36" spans="2:8" ht="12" thickTop="1" x14ac:dyDescent="0.2">
      <c r="B36" t="s">
        <v>814</v>
      </c>
      <c r="D36" s="20">
        <f>D33</f>
        <v>11529002.450000001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51" sqref="F51"/>
      <selection pane="bottomLeft" activeCell="F51" sqref="F5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Deerfield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748858.93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419760.13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110606.21</v>
      </c>
      <c r="D11" s="95">
        <f>'DOE25'!G12</f>
        <v>3314.72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55113.35</v>
      </c>
      <c r="D12" s="95">
        <f>'DOE25'!G13</f>
        <v>4311.32</v>
      </c>
      <c r="E12" s="95">
        <f>'DOE25'!H13</f>
        <v>55379.15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5413.68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914578.49</v>
      </c>
      <c r="D18" s="41">
        <f>SUM(D8:D17)</f>
        <v>13039.72</v>
      </c>
      <c r="E18" s="41">
        <f>SUM(E8:E17)</f>
        <v>55379.15</v>
      </c>
      <c r="F18" s="41">
        <f>SUM(F8:F17)</f>
        <v>0</v>
      </c>
      <c r="G18" s="41">
        <f>SUM(G8:G17)</f>
        <v>419760.13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54377.120000000003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131126.73000000001</v>
      </c>
      <c r="D22" s="95">
        <f>'DOE25'!G23</f>
        <v>13039.72</v>
      </c>
      <c r="E22" s="95">
        <f>'DOE25'!H23</f>
        <v>1002.03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9016.7999999999993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23542.29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163685.82</v>
      </c>
      <c r="D31" s="41">
        <f>SUM(D21:D30)</f>
        <v>13039.72</v>
      </c>
      <c r="E31" s="41">
        <f>SUM(E21:E30)</f>
        <v>55379.15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65000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190000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419760.13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16995.59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478897.08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750892.67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419760.13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914578.49</v>
      </c>
      <c r="D51" s="41">
        <f>D50+D31</f>
        <v>13039.72</v>
      </c>
      <c r="E51" s="41">
        <f>E50+E31</f>
        <v>55379.15</v>
      </c>
      <c r="F51" s="41">
        <f>F50+F31</f>
        <v>0</v>
      </c>
      <c r="G51" s="41">
        <f>G50+G31</f>
        <v>419760.13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8581045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21585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876.09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1393.01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88897.9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7304.43</v>
      </c>
      <c r="D61" s="95">
        <f>SUM('DOE25'!G98:G110)</f>
        <v>283.48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29765.52</v>
      </c>
      <c r="D62" s="130">
        <f>SUM(D57:D61)</f>
        <v>89181.37999999999</v>
      </c>
      <c r="E62" s="130">
        <f>SUM(E57:E61)</f>
        <v>0</v>
      </c>
      <c r="F62" s="130">
        <f>SUM(F57:F61)</f>
        <v>0</v>
      </c>
      <c r="G62" s="130">
        <f>SUM(G57:G61)</f>
        <v>1393.01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8610810.5199999996</v>
      </c>
      <c r="D63" s="22">
        <f>D56+D62</f>
        <v>89181.37999999999</v>
      </c>
      <c r="E63" s="22">
        <f>E56+E62</f>
        <v>0</v>
      </c>
      <c r="F63" s="22">
        <f>F56+F62</f>
        <v>0</v>
      </c>
      <c r="G63" s="22">
        <f>G56+G62</f>
        <v>1393.01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1798211.7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1095785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2893996.7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61492.85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2199.34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61492.85</v>
      </c>
      <c r="D78" s="130">
        <f>SUM(D72:D77)</f>
        <v>2199.34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2955489.5500000003</v>
      </c>
      <c r="D81" s="130">
        <f>SUM(D79:D80)+D78+D70</f>
        <v>2199.34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279152.81</v>
      </c>
      <c r="D88" s="95">
        <f>SUM('DOE25'!G153:G161)</f>
        <v>57173.74</v>
      </c>
      <c r="E88" s="95">
        <f>SUM('DOE25'!H153:H161)</f>
        <v>121168.04000000001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279152.81</v>
      </c>
      <c r="D91" s="131">
        <f>SUM(D85:D90)</f>
        <v>57173.74</v>
      </c>
      <c r="E91" s="131">
        <f>SUM(E85:E90)</f>
        <v>121168.04000000001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29459.38</v>
      </c>
      <c r="E96" s="95">
        <f>'DOE25'!H179</f>
        <v>0</v>
      </c>
      <c r="F96" s="95">
        <f>'DOE25'!I179</f>
        <v>0</v>
      </c>
      <c r="G96" s="95">
        <f>'DOE25'!J179</f>
        <v>45000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38001.050000000003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38001.050000000003</v>
      </c>
      <c r="D103" s="86">
        <f>SUM(D93:D102)</f>
        <v>29459.38</v>
      </c>
      <c r="E103" s="86">
        <f>SUM(E93:E102)</f>
        <v>0</v>
      </c>
      <c r="F103" s="86">
        <f>SUM(F93:F102)</f>
        <v>0</v>
      </c>
      <c r="G103" s="86">
        <f>SUM(G93:G102)</f>
        <v>45000</v>
      </c>
    </row>
    <row r="104" spans="1:7" ht="12.75" thickTop="1" thickBot="1" x14ac:dyDescent="0.25">
      <c r="A104" s="33" t="s">
        <v>764</v>
      </c>
      <c r="C104" s="86">
        <f>C63+C81+C91+C103</f>
        <v>11883453.930000002</v>
      </c>
      <c r="D104" s="86">
        <f>D63+D81+D91+D103</f>
        <v>178013.84</v>
      </c>
      <c r="E104" s="86">
        <f>E63+E81+E91+E103</f>
        <v>121168.04000000001</v>
      </c>
      <c r="F104" s="86">
        <f>F63+F81+F91+F103</f>
        <v>0</v>
      </c>
      <c r="G104" s="86">
        <f>G63+G81+G103</f>
        <v>46393.01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5964122.6400000006</v>
      </c>
      <c r="D109" s="24" t="s">
        <v>288</v>
      </c>
      <c r="E109" s="95">
        <f>('DOE25'!L276)+('DOE25'!L295)+('DOE25'!L314)</f>
        <v>75267.12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2859417.77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52332.840000000004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8875873.25</v>
      </c>
      <c r="D115" s="86">
        <f>SUM(D109:D114)</f>
        <v>0</v>
      </c>
      <c r="E115" s="86">
        <f>SUM(E109:E114)</f>
        <v>75267.12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575288.15</v>
      </c>
      <c r="D118" s="24" t="s">
        <v>288</v>
      </c>
      <c r="E118" s="95">
        <f>+('DOE25'!L281)+('DOE25'!L300)+('DOE25'!L319)</f>
        <v>27319.050000000003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185050.4</v>
      </c>
      <c r="D119" s="24" t="s">
        <v>288</v>
      </c>
      <c r="E119" s="95">
        <f>+('DOE25'!L282)+('DOE25'!L301)+('DOE25'!L320)</f>
        <v>16325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330937.99</v>
      </c>
      <c r="D120" s="24" t="s">
        <v>288</v>
      </c>
      <c r="E120" s="95">
        <f>+('DOE25'!L283)+('DOE25'!L302)+('DOE25'!L321)</f>
        <v>2256.87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490027.95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512513.87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651287.23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189421.83999999997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2745105.59</v>
      </c>
      <c r="D128" s="86">
        <f>SUM(D118:D127)</f>
        <v>189421.83999999997</v>
      </c>
      <c r="E128" s="86">
        <f>SUM(E118:E127)</f>
        <v>45900.920000000006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28000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38001.050000000003</v>
      </c>
    </row>
    <row r="135" spans="1:7" x14ac:dyDescent="0.2">
      <c r="A135" t="s">
        <v>233</v>
      </c>
      <c r="B135" s="32" t="s">
        <v>234</v>
      </c>
      <c r="C135" s="95">
        <f>'DOE25'!L263</f>
        <v>29459.38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46393.009999999995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-1393.0099999999948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13942.44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116401.82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38001.050000000003</v>
      </c>
    </row>
    <row r="145" spans="1:9" ht="12.75" thickTop="1" thickBot="1" x14ac:dyDescent="0.25">
      <c r="A145" s="33" t="s">
        <v>244</v>
      </c>
      <c r="C145" s="86">
        <f>(C115+C128+C144)</f>
        <v>11737380.66</v>
      </c>
      <c r="D145" s="86">
        <f>(D115+D128+D144)</f>
        <v>189421.83999999997</v>
      </c>
      <c r="E145" s="86">
        <f>(E115+E128+E144)</f>
        <v>121168.04000000001</v>
      </c>
      <c r="F145" s="86">
        <f>(F115+F128+F144)</f>
        <v>0</v>
      </c>
      <c r="G145" s="86">
        <f>(G115+G128+G144)</f>
        <v>38001.050000000003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F51" sqref="F5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Deerfield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17323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17323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6039390</v>
      </c>
      <c r="D10" s="182">
        <f>ROUND((C10/$C$28)*100,1)</f>
        <v>50.9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2859418</v>
      </c>
      <c r="D11" s="182">
        <f>ROUND((C11/$C$28)*100,1)</f>
        <v>24.1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52333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602607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201375</v>
      </c>
      <c r="D16" s="182">
        <f t="shared" si="0"/>
        <v>1.7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333195</v>
      </c>
      <c r="D17" s="182">
        <f t="shared" si="0"/>
        <v>2.8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490028</v>
      </c>
      <c r="D18" s="182">
        <f t="shared" si="0"/>
        <v>4.0999999999999996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512514</v>
      </c>
      <c r="D20" s="182">
        <f t="shared" si="0"/>
        <v>4.3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651287</v>
      </c>
      <c r="D21" s="182">
        <f t="shared" si="0"/>
        <v>5.5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13942.44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100240.62000000001</v>
      </c>
      <c r="D27" s="182">
        <f t="shared" si="0"/>
        <v>0.8</v>
      </c>
    </row>
    <row r="28" spans="1:4" x14ac:dyDescent="0.2">
      <c r="B28" s="187" t="s">
        <v>722</v>
      </c>
      <c r="C28" s="180">
        <f>SUM(C10:C27)</f>
        <v>11856330.059999999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28000</v>
      </c>
    </row>
    <row r="30" spans="1:4" x14ac:dyDescent="0.2">
      <c r="B30" s="187" t="s">
        <v>728</v>
      </c>
      <c r="C30" s="180">
        <f>SUM(C28:C29)</f>
        <v>11884330.059999999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8581045</v>
      </c>
      <c r="D35" s="182">
        <f t="shared" ref="D35:D40" si="1">ROUND((C35/$C$41)*100,1)</f>
        <v>71.3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31158.529999999329</v>
      </c>
      <c r="D36" s="182">
        <f t="shared" si="1"/>
        <v>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2893997</v>
      </c>
      <c r="D37" s="182">
        <f t="shared" si="1"/>
        <v>24.1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63692</v>
      </c>
      <c r="D38" s="182">
        <f t="shared" si="1"/>
        <v>0.5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457495</v>
      </c>
      <c r="D39" s="182">
        <f t="shared" si="1"/>
        <v>3.8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12027387.529999999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51" sqref="F51"/>
      <selection pane="bottomLeft" activeCell="F51" sqref="F5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Deerfield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2017-10-11T18:15:34Z</cp:lastPrinted>
  <dcterms:created xsi:type="dcterms:W3CDTF">1997-12-04T19:04:30Z</dcterms:created>
  <dcterms:modified xsi:type="dcterms:W3CDTF">2017-11-29T17:14:50Z</dcterms:modified>
</cp:coreProperties>
</file>