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E8" i="13" s="1"/>
  <c r="C8" i="13" s="1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D5" i="13" s="1"/>
  <c r="C5" i="13" s="1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D12" i="13" s="1"/>
  <c r="C12" i="13" s="1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D29" i="13" s="1"/>
  <c r="C29" i="13" s="1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C81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C115" i="2" s="1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C128" i="2" s="1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F257" i="1" s="1"/>
  <c r="F271" i="1" s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26" i="10"/>
  <c r="L328" i="1"/>
  <c r="H660" i="1" s="1"/>
  <c r="H664" i="1" s="1"/>
  <c r="L351" i="1"/>
  <c r="I662" i="1"/>
  <c r="L290" i="1"/>
  <c r="F660" i="1" s="1"/>
  <c r="A31" i="12"/>
  <c r="C70" i="2"/>
  <c r="A40" i="12"/>
  <c r="D18" i="13"/>
  <c r="C18" i="13" s="1"/>
  <c r="D15" i="13"/>
  <c r="C15" i="13" s="1"/>
  <c r="D17" i="13"/>
  <c r="C17" i="13" s="1"/>
  <c r="D6" i="13"/>
  <c r="C6" i="13" s="1"/>
  <c r="F78" i="2"/>
  <c r="F81" i="2" s="1"/>
  <c r="D50" i="2"/>
  <c r="G156" i="2"/>
  <c r="E115" i="2"/>
  <c r="D91" i="2"/>
  <c r="E62" i="2"/>
  <c r="E63" i="2" s="1"/>
  <c r="G62" i="2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F664" i="1"/>
  <c r="F672" i="1" s="1"/>
  <c r="C4" i="10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F667" i="1"/>
  <c r="H33" i="13" l="1"/>
  <c r="E33" i="13"/>
  <c r="D35" i="13" s="1"/>
  <c r="C16" i="13"/>
  <c r="D145" i="2"/>
  <c r="L362" i="1"/>
  <c r="G81" i="2"/>
  <c r="C62" i="2"/>
  <c r="C63" i="2" s="1"/>
  <c r="G11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F33" i="13" s="1"/>
  <c r="I660" i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635" i="1"/>
  <c r="J635" i="1" s="1"/>
  <c r="G51" i="2" l="1"/>
  <c r="D31" i="13"/>
  <c r="C31" i="13" s="1"/>
  <c r="L408" i="1"/>
  <c r="C51" i="2"/>
  <c r="G631" i="1"/>
  <c r="J631" i="1" s="1"/>
  <c r="I664" i="1"/>
  <c r="I672" i="1" s="1"/>
  <c r="C7" i="10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G637" i="1" l="1"/>
  <c r="J637" i="1" s="1"/>
  <c r="H646" i="1"/>
  <c r="J646" i="1" s="1"/>
  <c r="I667" i="1"/>
  <c r="D28" i="10"/>
  <c r="C41" i="10"/>
  <c r="D38" i="10" s="1"/>
  <c r="H656" i="1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<sst xmlns="http://schemas.openxmlformats.org/spreadsheetml/2006/main" count="3955" uniqueCount="913">
  <si>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</si>
  <si>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</si>
  <si>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</si>
  <si>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</si>
  <si>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</si>
  <si>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</si>
  <si>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</si>
  <si>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</si>
  <si>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</si>
  <si>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</si>
  <si>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</si>
  <si>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</si>
  <si>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</si>
  <si>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</si>
  <si>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</si>
  <si>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</si>
  <si>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</si>
  <si>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</si>
  <si>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</si>
  <si>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</si>
  <si>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</si>
  <si>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</si>
  <si>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</si>
  <si>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</si>
  <si>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</si>
  <si>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</si>
  <si>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</si>
  <si>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</si>
  <si>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</si>
  <si>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</si>
  <si>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</si>
  <si>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</si>
  <si>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</si>
  <si>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</si>
  <si>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</si>
  <si>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</si>
  <si>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</si>
  <si>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</si>
  <si>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</si>
  <si>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</si>
  <si>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</si>
  <si>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</si>
  <si>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</si>
  <si>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</si>
  <si>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</si>
  <si>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</si>
  <si>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</si>
  <si>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</si>
  <si>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</si>
  <si>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</si>
  <si>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</si>
  <si>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</si>
  <si>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</si>
  <si>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</si>
  <si>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</si>
  <si>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</si>
  <si>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</si>
  <si>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</si>
  <si>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</si>
  <si>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</si>
  <si>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</si>
  <si>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</si>
  <si>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</si>
  <si>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</si>
  <si>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</si>
  <si>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</si>
  <si>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</si>
  <si>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</si>
  <si>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</si>
  <si>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</si>
  <si>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</si>
  <si>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</si>
  <si>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</si>
  <si>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</si>
  <si>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</si>
  <si>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</si>
  <si>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</si>
  <si>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</si>
  <si>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</si>
  <si>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</si>
  <si>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</si>
  <si>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</si>
  <si>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</si>
  <si>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</si>
  <si>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</si>
  <si>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</si>
  <si>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</si>
  <si>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</si>
  <si>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</si>
  <si>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</si>
  <si>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</si>
  <si>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</si>
  <si>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</si>
  <si>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</si>
  <si>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</si>
  <si>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</si>
  <si>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</si>
  <si>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</si>
  <si>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</si>
  <si>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</si>
  <si>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</si>
  <si>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</si>
  <si>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</si>
  <si>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</si>
  <si>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</si>
  <si>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</si>
  <si>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</si>
  <si>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</si>
  <si>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</si>
  <si>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</si>
  <si>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</si>
  <si>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</si>
  <si>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</si>
  <si>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</si>
  <si>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</si>
  <si>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</si>
  <si>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</si>
  <si>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</si>
  <si>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</si>
  <si>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</si>
  <si>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</si>
  <si>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</si>
  <si>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</si>
  <si>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</si>
  <si>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</si>
  <si>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</si>
  <si>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</si>
  <si>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</si>
  <si>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</si>
  <si>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</si>
  <si>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</si>
  <si>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</si>
  <si>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</si>
  <si>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</si>
  <si>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</si>
  <si>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</si>
  <si>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</si>
  <si>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</si>
  <si>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</si>
  <si>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</si>
  <si>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</si>
  <si>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</si>
  <si>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</si>
  <si>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</si>
  <si>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</si>
  <si>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</si>
  <si>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</si>
  <si>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</si>
  <si>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</si>
  <si>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</si>
  <si>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</si>
  <si>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</si>
  <si>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</si>
  <si>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</si>
  <si>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</si>
  <si>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</si>
  <si>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</si>
  <si>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</si>
  <si>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</si>
  <si>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</si>
  <si>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</si>
  <si>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</si>
  <si>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</si>
  <si>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</si>
  <si>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</si>
  <si>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</si>
  <si>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</si>
  <si>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</si>
  <si>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</si>
  <si>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</si>
  <si>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</si>
  <si>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</si>
  <si>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</si>
  <si>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</si>
  <si>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</si>
  <si>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</si>
  <si>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</si>
  <si>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</si>
  <si>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</si>
  <si>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</si>
  <si>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</si>
  <si>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</si>
  <si>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</si>
  <si>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</si>
  <si>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</si>
  <si>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</si>
  <si>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</si>
  <si>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</si>
  <si>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</si>
  <si>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</si>
  <si>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</si>
  <si>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</si>
  <si>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</si>
  <si>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</si>
  <si>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</si>
  <si>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</si>
  <si>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</si>
  <si>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</si>
  <si>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</si>
  <si>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</si>
  <si>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</si>
  <si>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</si>
  <si>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</si>
  <si>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</si>
  <si>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</si>
  <si>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</si>
  <si>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</si>
  <si>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</si>
  <si>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</si>
  <si>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</si>
  <si>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</si>
  <si>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</si>
  <si>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</si>
  <si>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</si>
  <si>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</si>
  <si>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</si>
  <si>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</si>
  <si>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</si>
  <si>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</si>
  <si>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</si>
  <si>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</si>
  <si>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</si>
  <si>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</si>
  <si>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</si>
  <si>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</si>
  <si>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</si>
  <si>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</si>
  <si>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</si>
  <si>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</si>
  <si>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</si>
  <si>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</si>
  <si>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</si>
  <si>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</si>
  <si>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</si>
  <si>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</si>
  <si>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</si>
  <si>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</si>
  <si>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</si>
  <si>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</si>
  <si>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</si>
  <si>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</si>
  <si>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</si>
  <si>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</si>
  <si>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</si>
  <si>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</si>
  <si>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</si>
  <si>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</si>
  <si>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</si>
  <si>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</si>
  <si>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</si>
  <si>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</si>
  <si>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</si>
  <si>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</si>
  <si>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</si>
  <si>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</si>
  <si>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</si>
  <si>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</si>
  <si>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</si>
  <si>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</si>
  <si>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</si>
  <si>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</si>
  <si>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</si>
  <si>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</si>
  <si>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</si>
  <si>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</si>
  <si>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</si>
  <si>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</si>
  <si>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</si>
  <si>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</si>
  <si>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</si>
  <si>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</si>
  <si>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</si>
  <si>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</si>
  <si>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</si>
  <si>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</si>
  <si>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</si>
  <si>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</si>
  <si>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</si>
  <si>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</si>
  <si>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</si>
  <si>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</si>
  <si>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</si>
  <si>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</si>
  <si>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</si>
  <si>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</si>
  <si>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</si>
  <si>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</si>
  <si>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</si>
  <si>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</si>
  <si>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</si>
  <si>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</si>
  <si>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</si>
  <si>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</si>
  <si>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</si>
  <si>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</si>
  <si>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</si>
  <si>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</si>
  <si>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</si>
  <si>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</si>
  <si>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</si>
  <si>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</si>
  <si>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</si>
  <si>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</si>
  <si>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</si>
  <si>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</si>
  <si>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</si>
  <si>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</si>
  <si>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</si>
  <si>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</si>
  <si>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</si>
  <si>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</si>
  <si>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</si>
  <si>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</si>
  <si>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</si>
  <si>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</si>
  <si>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</si>
  <si>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</si>
  <si>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</si>
  <si>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</si>
  <si>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</si>
  <si>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</si>
  <si>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</si>
  <si>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</si>
  <si>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</si>
  <si>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</si>
  <si>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</si>
  <si>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</si>
  <si>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</si>
  <si>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</si>
  <si>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</si>
  <si>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</si>
  <si>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</si>
  <si>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</si>
  <si>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</si>
  <si>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</si>
  <si>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</si>
  <si>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</si>
  <si>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</si>
  <si>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</si>
  <si>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</si>
  <si>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</si>
  <si>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</si>
  <si>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</si>
  <si>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</si>
  <si>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</si>
  <si>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</si>
  <si>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</si>
  <si>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</si>
  <si>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</si>
  <si>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</si>
  <si>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</si>
  <si>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</si>
  <si>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</si>
  <si>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</si>
  <si>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</si>
  <si>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</si>
  <si>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</si>
  <si>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</si>
  <si>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</si>
  <si>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</si>
  <si>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</si>
  <si>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</si>
  <si>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</si>
  <si>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</si>
  <si>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</si>
  <si>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</si>
  <si>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</si>
  <si>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</si>
  <si>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</si>
  <si>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</si>
  <si>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</si>
  <si>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</si>
  <si>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</si>
  <si>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</si>
  <si>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</si>
  <si>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</si>
  <si>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</si>
  <si>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</si>
  <si>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</si>
  <si>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</si>
  <si>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</si>
  <si>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</si>
  <si>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</si>
  <si>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</si>
  <si>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</si>
  <si>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</si>
  <si>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</si>
  <si>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</si>
  <si>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</si>
  <si>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</si>
  <si>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</si>
  <si>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</si>
  <si>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</si>
  <si>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</si>
  <si>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</si>
  <si>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</si>
  <si>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</si>
  <si>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</si>
  <si>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</si>
  <si>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</si>
  <si>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</si>
  <si>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</si>
  <si>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</si>
  <si>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</si>
  <si>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</si>
  <si>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</si>
  <si>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</si>
  <si>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</si>
  <si>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</si>
  <si>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</si>
  <si>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</si>
  <si>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</si>
  <si>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</si>
  <si>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</si>
  <si>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</si>
  <si>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</si>
  <si>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</si>
  <si>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</si>
  <si>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</si>
  <si>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</si>
  <si>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</si>
  <si>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</si>
  <si>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</si>
  <si>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</si>
  <si>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</si>
  <si>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</si>
  <si>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</si>
  <si>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</si>
  <si>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</si>
  <si>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</si>
  <si>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</si>
  <si>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</si>
  <si>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</si>
  <si>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</si>
  <si>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</si>
  <si>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</si>
  <si>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</si>
  <si>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</si>
  <si>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</si>
  <si>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</si>
  <si>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</si>
  <si>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</si>
  <si>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</si>
  <si>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</si>
  <si>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</si>
  <si>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</si>
  <si>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</si>
  <si>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</si>
  <si>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</si>
  <si>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</si>
  <si>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</si>
  <si>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</si>
  <si>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</si>
  <si>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</si>
  <si>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</si>
  <si>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</si>
  <si>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</si>
  <si>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</si>
  <si>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</si>
  <si>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</si>
  <si>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</si>
  <si>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</si>
  <si>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</si>
  <si>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</si>
  <si>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</si>
  <si>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</si>
  <si>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</si>
  <si>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</si>
  <si>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</si>
  <si>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</si>
  <si>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</si>
  <si>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</si>
  <si>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</si>
  <si>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</si>
  <si>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</si>
  <si>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</si>
  <si>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</si>
  <si>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</si>
  <si>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</si>
  <si>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</si>
  <si>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</si>
  <si>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</si>
  <si>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</si>
  <si>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</si>
  <si>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</si>
  <si>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</si>
  <si>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</si>
  <si>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</si>
  <si>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</si>
  <si>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</si>
  <si>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</si>
  <si>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</si>
  <si>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</si>
  <si>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</si>
  <si>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</si>
  <si>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</si>
  <si>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</si>
  <si>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</si>
  <si>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</si>
  <si>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</si>
  <si>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</si>
  <si>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</si>
  <si>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</si>
  <si>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</si>
  <si>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</si>
  <si>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</si>
  <si>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</si>
  <si>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</si>
  <si>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</si>
  <si>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</si>
  <si>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</si>
  <si>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</si>
  <si>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</si>
  <si>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</si>
  <si>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</si>
  <si>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</si>
  <si>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</si>
  <si>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</si>
  <si>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</si>
  <si>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</si>
  <si>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</si>
  <si>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</si>
  <si>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</si>
  <si>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</si>
  <si>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</si>
  <si>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</si>
  <si>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</si>
  <si>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</si>
  <si>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</si>
  <si>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</si>
  <si>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</si>
  <si>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</si>
  <si>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</si>
  <si>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</si>
  <si>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</si>
  <si>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</si>
  <si>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</si>
  <si>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</si>
  <si>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</si>
  <si>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</si>
  <si>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</si>
  <si>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</si>
  <si>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</si>
  <si>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</si>
  <si>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</si>
  <si>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</si>
  <si>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</si>
  <si>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</si>
  <si>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</si>
  <si>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</si>
  <si>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</si>
  <si>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</si>
  <si>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</si>
  <si>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</si>
  <si>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</si>
  <si>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</si>
  <si>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</si>
  <si>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</si>
  <si>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</si>
  <si>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</si>
  <si>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</si>
  <si>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</si>
  <si>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</si>
  <si>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</si>
  <si>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</si>
  <si>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</si>
  <si>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</si>
  <si>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</si>
  <si>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</si>
  <si>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</si>
  <si>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</si>
  <si>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</si>
  <si>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</si>
  <si>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</si>
  <si>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</si>
  <si>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</si>
  <si>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</si>
  <si>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</si>
  <si>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</si>
  <si>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</si>
  <si>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</si>
  <si>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</si>
  <si>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</si>
  <si>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</si>
  <si>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</si>
  <si>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</si>
  <si>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</si>
  <si>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</si>
  <si>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</si>
  <si>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</si>
  <si>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</si>
  <si>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</si>
  <si>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</si>
  <si>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</si>
  <si>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</si>
  <si>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</si>
  <si>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</si>
  <si>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</si>
  <si>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</si>
  <si>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</si>
  <si>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</si>
  <si>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</si>
  <si>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</si>
  <si>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</si>
  <si>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</si>
  <si>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</si>
  <si>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</si>
  <si>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</si>
  <si>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</si>
  <si>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</si>
  <si>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</si>
  <si>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</si>
  <si>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</si>
  <si>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</si>
  <si>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</si>
  <si>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</si>
  <si>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</si>
  <si>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</si>
  <si>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</si>
  <si>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</si>
  <si>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</si>
  <si>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</si>
  <si>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</si>
  <si>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</si>
  <si>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</si>
  <si>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</si>
  <si>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</si>
  <si>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</si>
  <si>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</si>
  <si>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</si>
  <si>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</si>
  <si>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</si>
  <si>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</si>
  <si>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</si>
  <si>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</si>
  <si>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</si>
  <si>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</si>
  <si>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</si>
  <si>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</si>
  <si>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</si>
  <si>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</si>
  <si>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</si>
  <si>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</si>
  <si>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</si>
  <si>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</si>
  <si>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</si>
  <si>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</si>
  <si>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</si>
  <si>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</si>
  <si>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</si>
  <si>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</si>
  <si>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</si>
  <si>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</si>
  <si>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</si>
  <si>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</si>
  <si>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</si>
  <si>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</si>
  <si>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</si>
  <si>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</si>
  <si>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</si>
  <si>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</si>
  <si>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</si>
  <si>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</si>
  <si>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</si>
  <si>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</si>
  <si>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</si>
  <si>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</si>
  <si>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</si>
  <si>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</si>
  <si>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</si>
  <si>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</si>
  <si>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</si>
  <si>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</si>
  <si>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</si>
  <si>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</si>
  <si>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</si>
  <si>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</si>
  <si>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</si>
  <si>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</si>
  <si>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</si>
  <si>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</si>
  <si>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</si>
  <si>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</si>
  <si>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</si>
  <si>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</si>
  <si>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</si>
  <si>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</si>
  <si>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</si>
  <si>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</si>
  <si>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</si>
  <si>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</si>
  <si>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</si>
  <si>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</si>
  <si>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</si>
  <si>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</si>
  <si>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</si>
  <si>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</si>
  <si>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</si>
  <si>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</si>
  <si>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</si>
  <si>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</si>
  <si>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</si>
  <si>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</si>
  <si>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</si>
  <si>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</si>
  <si>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</si>
  <si>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</si>
  <si>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</si>
  <si>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</si>
  <si>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</si>
  <si>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</si>
  <si>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</si>
  <si>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</si>
  <si>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</si>
  <si>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</si>
  <si>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</si>
  <si>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</si>
  <si>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</si>
  <si>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</si>
  <si>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</si>
  <si>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</si>
  <si>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</si>
  <si>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</si>
  <si>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</si>
  <si>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</si>
  <si>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</si>
  <si>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</si>
  <si>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</si>
  <si>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</si>
  <si>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</si>
  <si>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</si>
  <si>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</si>
  <si>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</si>
  <si>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</si>
  <si>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</si>
  <si>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</si>
  <si>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</si>
  <si>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</si>
  <si>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</si>
  <si>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</si>
  <si>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</si>
  <si>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</si>
  <si>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</si>
  <si>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</si>
  <si>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</si>
  <si>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</si>
  <si>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</si>
  <si>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</si>
  <si>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</si>
  <si>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</si>
  <si>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</si>
  <si>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</si>
  <si>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</si>
  <si>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</si>
  <si>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</si>
  <si>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</si>
  <si>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</si>
  <si>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</si>
  <si>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</si>
  <si>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</si>
  <si>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</si>
  <si>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</si>
  <si>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</si>
  <si>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</si>
  <si>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</si>
  <si>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</si>
  <si>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</si>
  <si>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</si>
  <si>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</si>
  <si>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</si>
  <si>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</si>
  <si>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</si>
  <si>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</si>
  <si>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</si>
  <si>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</si>
  <si>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</si>
  <si>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</si>
  <si>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</si>
  <si>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</si>
  <si>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</si>
  <si>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</si>
  <si>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</si>
  <si>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</si>
  <si>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</si>
  <si>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</si>
  <si>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</si>
  <si>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</si>
  <si>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</si>
  <si>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</si>
  <si>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</si>
  <si>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</si>
  <si>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</si>
  <si>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</si>
  <si>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</si>
  <si>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</si>
  <si>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</si>
  <si>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</si>
  <si>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</si>
  <si>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</si>
  <si>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</si>
  <si>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</si>
  <si>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</si>
  <si>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</si>
  <si>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</si>
  <si>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</si>
  <si>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</si>
  <si>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</si>
  <si>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</si>
  <si>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</si>
  <si>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</si>
  <si>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</si>
  <si>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</si>
  <si>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</si>
  <si>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</si>
  <si>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</si>
  <si>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</si>
  <si>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</si>
  <si>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</si>
  <si>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</si>
  <si>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</si>
  <si>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</si>
  <si>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</si>
  <si>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</si>
  <si>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</si>
  <si>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</si>
  <si>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</si>
  <si>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</si>
  <si>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</si>
  <si>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</si>
  <si>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</si>
  <si>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</si>
  <si>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</si>
  <si>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</si>
  <si>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</si>
  <si>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</si>
  <si>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</si>
  <si>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</si>
  <si>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</si>
  <si>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</si>
  <si>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</si>
  <si>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</si>
  <si>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</si>
  <si>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</si>
  <si>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</si>
  <si>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</si>
  <si>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</si>
  <si>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</si>
  <si>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</si>
  <si>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</si>
  <si>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</si>
  <si>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</si>
  <si>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</si>
  <si>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</si>
  <si>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</si>
  <si>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</si>
  <si>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</si>
  <si>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</si>
  <si>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</si>
  <si>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</si>
  <si>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</si>
  <si>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</si>
  <si>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</si>
  <si>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</si>
  <si>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</si>
  <si>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</si>
  <si>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</si>
  <si>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</si>
  <si>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</si>
  <si>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</si>
  <si>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</si>
  <si>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</si>
  <si>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</si>
  <si>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</si>
  <si>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</si>
  <si>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</si>
  <si>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</si>
  <si>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</si>
  <si>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</si>
  <si>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</si>
  <si>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</si>
  <si>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</si>
  <si>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</si>
  <si>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</si>
  <si>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</si>
  <si>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</si>
  <si>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</si>
  <si>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</si>
  <si>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</si>
  <si>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</si>
  <si>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</si>
  <si>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</si>
  <si>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</si>
  <si>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</si>
  <si>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</si>
  <si>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</si>
  <si>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</si>
  <si>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</si>
  <si>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</si>
  <si>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</si>
  <si>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</si>
  <si>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</si>
  <si>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</si>
  <si>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</si>
  <si>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</si>
  <si>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</si>
  <si>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</si>
  <si>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</si>
  <si>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</si>
  <si>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</si>
  <si>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</si>
  <si>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</si>
  <si>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</si>
  <si>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 xml:space="preserve">Dover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</si>
</sst>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141</v>
      </c>
      <c r="C2" s="21">
        <v>141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/>
      <c r="G9" s="18">
        <v>124956.92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v>848204.96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149620.15</v>
      </c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56693.86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>
        <v>618018</v>
      </c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0</v>
      </c>
      <c r="G19" s="41">
        <f>SUM(G9:G18)</f>
        <v>1179475.8900000001</v>
      </c>
      <c r="H19" s="41">
        <f>SUM(H9:H18)</f>
        <v>618018</v>
      </c>
      <c r="I19" s="41">
        <f>SUM(I9:I18)</f>
        <v>0</v>
      </c>
      <c r="J19" s="41">
        <f>SUM(J9:J18)</f>
        <v>0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669220.25</v>
      </c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>
        <v>276.94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34622.199999999997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0</v>
      </c>
      <c r="G32" s="41">
        <f>SUM(G22:G31)</f>
        <v>704119.3899999999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56693.86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345169.54000000004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548588.04</v>
      </c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>
        <v>73493.100000000006</v>
      </c>
      <c r="H49" s="18">
        <v>69429.960000000006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/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0</v>
      </c>
      <c r="G51" s="41">
        <f>SUM(G35:G50)</f>
        <v>475356.5</v>
      </c>
      <c r="H51" s="41">
        <f>SUM(H35:H50)</f>
        <v>618018</v>
      </c>
      <c r="I51" s="41">
        <f>SUM(I35:I50)</f>
        <v>0</v>
      </c>
      <c r="J51" s="41">
        <f>SUM(J35:J50)</f>
        <v>0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0</v>
      </c>
      <c r="G52" s="41">
        <f>G51+G32</f>
        <v>1179475.8899999999</v>
      </c>
      <c r="H52" s="41">
        <f>H51+H32</f>
        <v>618018</v>
      </c>
      <c r="I52" s="41">
        <f>I51+I32</f>
        <v>0</v>
      </c>
      <c r="J52" s="41">
        <f>J51+J32</f>
        <v>0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30985059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30985059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11660.01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8300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>
        <v>104286.38</v>
      </c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3445526.3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323171.76</v>
      </c>
      <c r="G69" s="24" t="s">
        <v>288</v>
      </c>
      <c r="H69" s="18">
        <v>182289.16</v>
      </c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68904.94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>
        <v>73188.22</v>
      </c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3930751.2299999995</v>
      </c>
      <c r="G79" s="45" t="s">
        <v>288</v>
      </c>
      <c r="H79" s="41">
        <f>SUM(H63:H78)</f>
        <v>286575.54000000004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62055.19</v>
      </c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62055.19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757941.66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>
        <v>31902.199999999997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>
        <v>142122.23999999999</v>
      </c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21092.74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138075.54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138075.54</v>
      </c>
      <c r="G111" s="41">
        <f>SUM(G96:G110)</f>
        <v>757941.66</v>
      </c>
      <c r="H111" s="41">
        <f>SUM(H96:H110)</f>
        <v>195117.18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35115940.959999993</v>
      </c>
      <c r="G112" s="41">
        <f>G60+G111</f>
        <v>757941.66</v>
      </c>
      <c r="H112" s="41">
        <f>H60+H79+H94+H111</f>
        <v>481692.72000000003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8926329.6899999995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6844285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1389583.15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17160197.84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650873.26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322237.05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180731.01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2100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21661.61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>
        <v>170471.42</v>
      </c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1155941.32</v>
      </c>
      <c r="G136" s="41">
        <f>SUM(G123:G135)</f>
        <v>21661.61</v>
      </c>
      <c r="H136" s="41">
        <f>SUM(H123:H135)</f>
        <v>170471.42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18316139.16</v>
      </c>
      <c r="G140" s="41">
        <f>G121+SUM(G136:G137)</f>
        <v>21661.61</v>
      </c>
      <c r="H140" s="41">
        <f>H121+SUM(H136:H139)</f>
        <v>170471.42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>
        <v>8046.94</v>
      </c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>
        <v>39010.82</v>
      </c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47057.760000000002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895512.57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273918.83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116341.84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584410.89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642650.8899999999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806298.7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591332.78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106053.03</v>
      </c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591332.78</v>
      </c>
      <c r="G162" s="41">
        <f>SUM(G150:G161)</f>
        <v>748703.91999999993</v>
      </c>
      <c r="H162" s="41">
        <f>SUM(H150:H161)</f>
        <v>2676482.83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638390.54</v>
      </c>
      <c r="G169" s="41">
        <f>G147+G162+SUM(G163:G168)</f>
        <v>748703.91999999993</v>
      </c>
      <c r="H169" s="41">
        <f>H147+H162+SUM(H163:H168)</f>
        <v>2676482.83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>
        <v>30582893.359999999</v>
      </c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30582893.359999999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28818.89</v>
      </c>
      <c r="H179" s="18">
        <v>538513</v>
      </c>
      <c r="I179" s="18">
        <v>1427797</v>
      </c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28818.89</v>
      </c>
      <c r="H183" s="41">
        <f>SUM(H179:H182)</f>
        <v>538513</v>
      </c>
      <c r="I183" s="41">
        <f>SUM(I179:I182)</f>
        <v>1427797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2692436.13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2692436.13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2692436.13</v>
      </c>
      <c r="G192" s="41">
        <f>G183+SUM(G188:G191)</f>
        <v>28818.89</v>
      </c>
      <c r="H192" s="41">
        <f>+H183+SUM(H188:H191)</f>
        <v>538513</v>
      </c>
      <c r="I192" s="41">
        <f>I177+I183+SUM(I188:I191)</f>
        <v>32010690.359999999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56762906.789999992</v>
      </c>
      <c r="G193" s="47">
        <f>G112+G140+G169+G192</f>
        <v>1557126.0799999998</v>
      </c>
      <c r="H193" s="47">
        <f>H112+H140+H169+H192</f>
        <v>3867159.97</v>
      </c>
      <c r="I193" s="47">
        <f>I112+I140+I169+I192</f>
        <v>32010690.359999999</v>
      </c>
      <c r="J193" s="47">
        <f>J112+J140+J192</f>
        <v>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5320293.6399999997</v>
      </c>
      <c r="G197" s="18">
        <v>2820671.09</v>
      </c>
      <c r="H197" s="18"/>
      <c r="I197" s="18">
        <v>149516.88999999998</v>
      </c>
      <c r="J197" s="18"/>
      <c r="K197" s="18"/>
      <c r="L197" s="19">
        <f>SUM(F197:K197)</f>
        <v>8290481.6199999992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2125768.5699999998</v>
      </c>
      <c r="G198" s="18">
        <v>754639.4800000001</v>
      </c>
      <c r="H198" s="18">
        <v>588186.06999999995</v>
      </c>
      <c r="I198" s="18">
        <v>18025.850000000002</v>
      </c>
      <c r="J198" s="18">
        <v>11476.79</v>
      </c>
      <c r="K198" s="18">
        <v>10560.45</v>
      </c>
      <c r="L198" s="19">
        <f>SUM(F198:K198)</f>
        <v>3508657.21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11560.05</v>
      </c>
      <c r="G200" s="18">
        <v>2115.7399999999998</v>
      </c>
      <c r="H200" s="18">
        <v>624.6</v>
      </c>
      <c r="I200" s="18">
        <v>914.93000000000006</v>
      </c>
      <c r="J200" s="18"/>
      <c r="K200" s="18"/>
      <c r="L200" s="19">
        <f>SUM(F200:K200)</f>
        <v>15215.32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838676.8</v>
      </c>
      <c r="G202" s="18">
        <v>502173.21</v>
      </c>
      <c r="H202" s="18">
        <v>148834.08000000002</v>
      </c>
      <c r="I202" s="18">
        <v>4366.91</v>
      </c>
      <c r="J202" s="18"/>
      <c r="K202" s="18"/>
      <c r="L202" s="19">
        <f t="shared" ref="L202:L208" si="0">SUM(F202:K202)</f>
        <v>1494051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243968.26999999996</v>
      </c>
      <c r="G203" s="18">
        <v>126966.06999999999</v>
      </c>
      <c r="H203" s="18">
        <v>2976.64</v>
      </c>
      <c r="I203" s="18">
        <v>37063.78</v>
      </c>
      <c r="J203" s="18"/>
      <c r="K203" s="18">
        <v>151.91999999999999</v>
      </c>
      <c r="L203" s="19">
        <f t="shared" si="0"/>
        <v>411126.68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180223.91</v>
      </c>
      <c r="G204" s="18">
        <v>90824.46</v>
      </c>
      <c r="H204" s="18">
        <v>202134.59</v>
      </c>
      <c r="I204" s="18">
        <v>4600.5600000000004</v>
      </c>
      <c r="J204" s="18"/>
      <c r="K204" s="18">
        <v>6546.3600000000006</v>
      </c>
      <c r="L204" s="19">
        <f t="shared" si="0"/>
        <v>484329.87999999995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742371.51</v>
      </c>
      <c r="G205" s="18">
        <v>322730.67000000004</v>
      </c>
      <c r="H205" s="18">
        <v>357.41999999999996</v>
      </c>
      <c r="I205" s="18">
        <v>193.59</v>
      </c>
      <c r="J205" s="18"/>
      <c r="K205" s="18">
        <v>3419</v>
      </c>
      <c r="L205" s="19">
        <f t="shared" si="0"/>
        <v>1069072.1900000002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>
        <v>1097349.9100000001</v>
      </c>
      <c r="I207" s="18">
        <v>308551.28000000003</v>
      </c>
      <c r="J207" s="18"/>
      <c r="K207" s="18"/>
      <c r="L207" s="19">
        <f t="shared" si="0"/>
        <v>1405901.1900000002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4378.05</v>
      </c>
      <c r="G208" s="18">
        <v>825.42</v>
      </c>
      <c r="H208" s="18">
        <v>692806.24000000011</v>
      </c>
      <c r="I208" s="18"/>
      <c r="J208" s="18"/>
      <c r="K208" s="18"/>
      <c r="L208" s="19">
        <f t="shared" si="0"/>
        <v>698009.71000000008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83083.87</v>
      </c>
      <c r="G209" s="18">
        <v>90413.53</v>
      </c>
      <c r="H209" s="18">
        <v>7628.05</v>
      </c>
      <c r="I209" s="18">
        <v>51111.09</v>
      </c>
      <c r="J209" s="18">
        <v>28783.69</v>
      </c>
      <c r="K209" s="18">
        <v>549.36</v>
      </c>
      <c r="L209" s="19">
        <f>SUM(F209:K209)</f>
        <v>261569.58999999997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9550324.6699999981</v>
      </c>
      <c r="G211" s="41">
        <f t="shared" si="1"/>
        <v>4711359.67</v>
      </c>
      <c r="H211" s="41">
        <f t="shared" si="1"/>
        <v>2740897.6</v>
      </c>
      <c r="I211" s="41">
        <f t="shared" si="1"/>
        <v>574344.88</v>
      </c>
      <c r="J211" s="41">
        <f t="shared" si="1"/>
        <v>40260.479999999996</v>
      </c>
      <c r="K211" s="41">
        <f t="shared" si="1"/>
        <v>21227.090000000004</v>
      </c>
      <c r="L211" s="41">
        <f t="shared" si="1"/>
        <v>17638414.389999997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3502583.5500000003</v>
      </c>
      <c r="G215" s="18">
        <v>1887123.88</v>
      </c>
      <c r="H215" s="18">
        <v>3065.42</v>
      </c>
      <c r="I215" s="18">
        <v>65327.079999999994</v>
      </c>
      <c r="J215" s="18">
        <v>11837.63</v>
      </c>
      <c r="K215" s="18"/>
      <c r="L215" s="19">
        <f>SUM(F215:K215)</f>
        <v>5469937.5599999996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1688848.3599999999</v>
      </c>
      <c r="G216" s="18">
        <v>550809.18000000005</v>
      </c>
      <c r="H216" s="18">
        <v>978464.57999999984</v>
      </c>
      <c r="I216" s="18">
        <v>14718.720000000001</v>
      </c>
      <c r="J216" s="18">
        <v>5955.71</v>
      </c>
      <c r="K216" s="18">
        <v>8507.0300000000007</v>
      </c>
      <c r="L216" s="19">
        <f>SUM(F216:K216)</f>
        <v>3247303.58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31114.260000000002</v>
      </c>
      <c r="G218" s="18">
        <v>4610.9500000000007</v>
      </c>
      <c r="H218" s="18">
        <v>4627.1499999999996</v>
      </c>
      <c r="I218" s="18">
        <v>3226.5</v>
      </c>
      <c r="J218" s="18"/>
      <c r="K218" s="18">
        <v>1119.9000000000001</v>
      </c>
      <c r="L218" s="19">
        <f>SUM(F218:K218)</f>
        <v>44698.760000000009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634200.24999999988</v>
      </c>
      <c r="G220" s="18">
        <v>323156.57</v>
      </c>
      <c r="H220" s="18">
        <v>24940.84</v>
      </c>
      <c r="I220" s="18">
        <v>1845.84</v>
      </c>
      <c r="J220" s="18"/>
      <c r="K220" s="18"/>
      <c r="L220" s="19">
        <f t="shared" ref="L220:L226" si="2">SUM(F220:K220)</f>
        <v>984143.49999999977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112427.11</v>
      </c>
      <c r="G221" s="18">
        <v>51380.460000000006</v>
      </c>
      <c r="H221" s="18">
        <v>4850.9699999999993</v>
      </c>
      <c r="I221" s="18">
        <v>21954.920000000002</v>
      </c>
      <c r="J221" s="18"/>
      <c r="K221" s="18">
        <v>122.38</v>
      </c>
      <c r="L221" s="19">
        <f t="shared" si="2"/>
        <v>190735.84000000003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145180.38</v>
      </c>
      <c r="G222" s="18">
        <v>73164.139999999985</v>
      </c>
      <c r="H222" s="18">
        <v>158008.74999999997</v>
      </c>
      <c r="I222" s="18">
        <v>3706.0099999999998</v>
      </c>
      <c r="J222" s="18"/>
      <c r="K222" s="18">
        <v>5273.46</v>
      </c>
      <c r="L222" s="19">
        <f t="shared" si="2"/>
        <v>385332.74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399260.36</v>
      </c>
      <c r="G223" s="18">
        <v>211226.55000000002</v>
      </c>
      <c r="H223" s="18">
        <v>369.85</v>
      </c>
      <c r="I223" s="18">
        <v>511.79</v>
      </c>
      <c r="J223" s="18"/>
      <c r="K223" s="18">
        <v>2998.97</v>
      </c>
      <c r="L223" s="19">
        <f t="shared" si="2"/>
        <v>614367.52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>
        <v>903078.99</v>
      </c>
      <c r="I225" s="18">
        <v>234556.06</v>
      </c>
      <c r="J225" s="18">
        <v>79249.97</v>
      </c>
      <c r="K225" s="18"/>
      <c r="L225" s="19">
        <f t="shared" si="2"/>
        <v>1216885.02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3526.76</v>
      </c>
      <c r="G226" s="18">
        <v>664.92</v>
      </c>
      <c r="H226" s="18">
        <v>714849.86999999988</v>
      </c>
      <c r="I226" s="18"/>
      <c r="J226" s="18"/>
      <c r="K226" s="18"/>
      <c r="L226" s="19">
        <f t="shared" si="2"/>
        <v>719041.54999999993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117404.67000000001</v>
      </c>
      <c r="G227" s="18">
        <v>89910.64</v>
      </c>
      <c r="H227" s="18">
        <v>5618.6</v>
      </c>
      <c r="I227" s="18">
        <v>41172.82</v>
      </c>
      <c r="J227" s="18">
        <v>23186.86</v>
      </c>
      <c r="K227" s="18">
        <v>442.54</v>
      </c>
      <c r="L227" s="19">
        <f>SUM(F227:K227)</f>
        <v>277736.13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6634545.7000000002</v>
      </c>
      <c r="G229" s="41">
        <f>SUM(G215:G228)</f>
        <v>3192047.29</v>
      </c>
      <c r="H229" s="41">
        <f>SUM(H215:H228)</f>
        <v>2797875.02</v>
      </c>
      <c r="I229" s="41">
        <f>SUM(I215:I228)</f>
        <v>387019.74</v>
      </c>
      <c r="J229" s="41">
        <f>SUM(J215:J228)</f>
        <v>120230.17</v>
      </c>
      <c r="K229" s="41">
        <f t="shared" si="3"/>
        <v>18464.280000000002</v>
      </c>
      <c r="L229" s="41">
        <f t="shared" si="3"/>
        <v>13150182.200000001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4518256.13</v>
      </c>
      <c r="G233" s="18">
        <v>2377247.02</v>
      </c>
      <c r="H233" s="18">
        <v>1921.8</v>
      </c>
      <c r="I233" s="18">
        <v>81355.839999999997</v>
      </c>
      <c r="J233" s="18">
        <v>6707.57</v>
      </c>
      <c r="K233" s="18"/>
      <c r="L233" s="19">
        <f>SUM(F233:K233)</f>
        <v>6985488.3600000003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1202129.1199999999</v>
      </c>
      <c r="G234" s="18">
        <v>442160.01999999996</v>
      </c>
      <c r="H234" s="18">
        <v>694763.03999999992</v>
      </c>
      <c r="I234" s="18">
        <v>15363.61</v>
      </c>
      <c r="J234" s="18">
        <v>10920.970000000001</v>
      </c>
      <c r="K234" s="18">
        <v>10617.1</v>
      </c>
      <c r="L234" s="19">
        <f>SUM(F234:K234)</f>
        <v>2375953.86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1066021.26</v>
      </c>
      <c r="G235" s="18">
        <v>556125.97</v>
      </c>
      <c r="H235" s="18">
        <v>19203.79</v>
      </c>
      <c r="I235" s="18">
        <v>91552.61</v>
      </c>
      <c r="J235" s="18"/>
      <c r="K235" s="18">
        <v>838</v>
      </c>
      <c r="L235" s="19">
        <f>SUM(F235:K235)</f>
        <v>1733741.6300000001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294782.18</v>
      </c>
      <c r="G236" s="18">
        <v>85532.50999999998</v>
      </c>
      <c r="H236" s="18">
        <v>64797.08</v>
      </c>
      <c r="I236" s="18">
        <v>23094.17</v>
      </c>
      <c r="J236" s="18">
        <v>13873</v>
      </c>
      <c r="K236" s="18">
        <v>39015</v>
      </c>
      <c r="L236" s="19">
        <f>SUM(F236:K236)</f>
        <v>521093.93999999994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619075.92999999993</v>
      </c>
      <c r="G238" s="18">
        <v>277012.4200000001</v>
      </c>
      <c r="H238" s="18">
        <v>32695.120000000003</v>
      </c>
      <c r="I238" s="18">
        <v>3252.71</v>
      </c>
      <c r="J238" s="18"/>
      <c r="K238" s="18"/>
      <c r="L238" s="19">
        <f t="shared" ref="L238:L244" si="4">SUM(F238:K238)</f>
        <v>932036.18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156810.74</v>
      </c>
      <c r="G239" s="18">
        <v>77117.319999999992</v>
      </c>
      <c r="H239" s="18">
        <v>319.90999999999997</v>
      </c>
      <c r="I239" s="18">
        <v>28169.49</v>
      </c>
      <c r="J239" s="18">
        <v>277.19</v>
      </c>
      <c r="K239" s="18">
        <v>147.69999999999999</v>
      </c>
      <c r="L239" s="19">
        <f t="shared" si="4"/>
        <v>262842.35000000003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175217.68999999997</v>
      </c>
      <c r="G240" s="18">
        <v>88301.560000000012</v>
      </c>
      <c r="H240" s="18">
        <v>197839.18</v>
      </c>
      <c r="I240" s="18">
        <v>4472.7699999999995</v>
      </c>
      <c r="J240" s="18"/>
      <c r="K240" s="18">
        <v>6364.52</v>
      </c>
      <c r="L240" s="19">
        <f t="shared" si="4"/>
        <v>472195.72000000003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610282.11</v>
      </c>
      <c r="G241" s="18">
        <v>303196.96999999997</v>
      </c>
      <c r="H241" s="18">
        <v>5842.4500000000007</v>
      </c>
      <c r="I241" s="18">
        <v>8222.8700000000008</v>
      </c>
      <c r="J241" s="18"/>
      <c r="K241" s="18">
        <v>6470</v>
      </c>
      <c r="L241" s="19">
        <f t="shared" si="4"/>
        <v>934014.39999999991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>
        <v>1093703.1700000002</v>
      </c>
      <c r="I243" s="18">
        <v>341014.67000000004</v>
      </c>
      <c r="J243" s="18">
        <v>1455.71</v>
      </c>
      <c r="K243" s="18"/>
      <c r="L243" s="19">
        <f t="shared" si="4"/>
        <v>1436173.5500000003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4256.4399999999996</v>
      </c>
      <c r="G244" s="18">
        <v>802.48</v>
      </c>
      <c r="H244" s="18">
        <v>846620</v>
      </c>
      <c r="I244" s="18">
        <v>60.53</v>
      </c>
      <c r="J244" s="18"/>
      <c r="K244" s="18"/>
      <c r="L244" s="19">
        <f t="shared" si="4"/>
        <v>851739.45000000007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137020.97</v>
      </c>
      <c r="G245" s="18">
        <v>114494.79000000001</v>
      </c>
      <c r="H245" s="18">
        <v>6807.84</v>
      </c>
      <c r="I245" s="18">
        <v>49691.34</v>
      </c>
      <c r="J245" s="18">
        <v>27984.15</v>
      </c>
      <c r="K245" s="18">
        <v>534.1</v>
      </c>
      <c r="L245" s="19">
        <f>SUM(F245:K245)</f>
        <v>336533.19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8783852.5700000003</v>
      </c>
      <c r="G247" s="41">
        <f t="shared" si="5"/>
        <v>4321991.0599999996</v>
      </c>
      <c r="H247" s="41">
        <f t="shared" si="5"/>
        <v>2964513.38</v>
      </c>
      <c r="I247" s="41">
        <f t="shared" si="5"/>
        <v>646250.61</v>
      </c>
      <c r="J247" s="41">
        <f t="shared" si="5"/>
        <v>61218.590000000004</v>
      </c>
      <c r="K247" s="41">
        <f t="shared" si="5"/>
        <v>63986.419999999991</v>
      </c>
      <c r="L247" s="41">
        <f t="shared" si="5"/>
        <v>16841812.630000003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158199.20000000001</v>
      </c>
      <c r="G251" s="18">
        <v>69484.490000000005</v>
      </c>
      <c r="H251" s="18"/>
      <c r="I251" s="18"/>
      <c r="J251" s="18"/>
      <c r="K251" s="18"/>
      <c r="L251" s="19">
        <f t="shared" si="6"/>
        <v>227683.69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158199.20000000001</v>
      </c>
      <c r="G256" s="41">
        <f t="shared" si="7"/>
        <v>69484.490000000005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227683.69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25126922.139999997</v>
      </c>
      <c r="G257" s="41">
        <f t="shared" si="8"/>
        <v>12294882.51</v>
      </c>
      <c r="H257" s="41">
        <f t="shared" si="8"/>
        <v>8503286</v>
      </c>
      <c r="I257" s="41">
        <f t="shared" si="8"/>
        <v>1607615.23</v>
      </c>
      <c r="J257" s="41">
        <f t="shared" si="8"/>
        <v>221709.24</v>
      </c>
      <c r="K257" s="41">
        <f t="shared" si="8"/>
        <v>103677.79000000001</v>
      </c>
      <c r="L257" s="41">
        <f t="shared" si="8"/>
        <v>47858092.909999996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2046065.36</v>
      </c>
      <c r="L260" s="19">
        <f>SUM(F260:K260)</f>
        <v>2046065.36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4543753.55</v>
      </c>
      <c r="L261" s="19">
        <f>SUM(F261:K261)</f>
        <v>4543753.55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28818.89</v>
      </c>
      <c r="L263" s="19">
        <f>SUM(F263:K263)</f>
        <v>28818.89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538513</v>
      </c>
      <c r="L264" s="19">
        <f t="shared" ref="L264:L270" si="9">SUM(F264:K264)</f>
        <v>538513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1427797</v>
      </c>
      <c r="L265" s="19">
        <f t="shared" si="9"/>
        <v>1427797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8584947.8000000007</v>
      </c>
      <c r="L270" s="41">
        <f t="shared" si="9"/>
        <v>8584947.8000000007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25126922.139999997</v>
      </c>
      <c r="G271" s="42">
        <f t="shared" si="11"/>
        <v>12294882.51</v>
      </c>
      <c r="H271" s="42">
        <f t="shared" si="11"/>
        <v>8503286</v>
      </c>
      <c r="I271" s="42">
        <f t="shared" si="11"/>
        <v>1607615.23</v>
      </c>
      <c r="J271" s="42">
        <f t="shared" si="11"/>
        <v>221709.24</v>
      </c>
      <c r="K271" s="42">
        <f t="shared" si="11"/>
        <v>8688625.5899999999</v>
      </c>
      <c r="L271" s="42">
        <f t="shared" si="11"/>
        <v>56443040.709999993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352979.56</v>
      </c>
      <c r="G276" s="18">
        <v>99472.69</v>
      </c>
      <c r="H276" s="18">
        <v>400</v>
      </c>
      <c r="I276" s="18">
        <v>6509.56</v>
      </c>
      <c r="J276" s="18"/>
      <c r="K276" s="18"/>
      <c r="L276" s="19">
        <f>SUM(F276:K276)</f>
        <v>459361.81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174891.21000000002</v>
      </c>
      <c r="G277" s="18">
        <v>86227.3</v>
      </c>
      <c r="H277" s="18">
        <v>35136.399999999994</v>
      </c>
      <c r="I277" s="18">
        <v>126.5</v>
      </c>
      <c r="J277" s="18"/>
      <c r="K277" s="18"/>
      <c r="L277" s="19">
        <f>SUM(F277:K277)</f>
        <v>296381.41000000003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36985.69</v>
      </c>
      <c r="G281" s="18">
        <v>6593.1399999999994</v>
      </c>
      <c r="H281" s="18">
        <v>2085.84</v>
      </c>
      <c r="I281" s="18">
        <v>2233.2200000000003</v>
      </c>
      <c r="J281" s="18"/>
      <c r="K281" s="18"/>
      <c r="L281" s="19">
        <f t="shared" ref="L281:L287" si="12">SUM(F281:K281)</f>
        <v>47897.89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71481.759999999995</v>
      </c>
      <c r="G282" s="18">
        <v>30167.79</v>
      </c>
      <c r="H282" s="18">
        <v>12738.58</v>
      </c>
      <c r="I282" s="18">
        <v>3589.98</v>
      </c>
      <c r="J282" s="18">
        <v>673.5</v>
      </c>
      <c r="K282" s="18"/>
      <c r="L282" s="19">
        <f t="shared" si="12"/>
        <v>118651.60999999999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1011.15</v>
      </c>
      <c r="G283" s="18">
        <v>217.45</v>
      </c>
      <c r="H283" s="18">
        <v>1980.28</v>
      </c>
      <c r="I283" s="18">
        <v>773.51</v>
      </c>
      <c r="J283" s="18"/>
      <c r="K283" s="18"/>
      <c r="L283" s="19">
        <f t="shared" si="12"/>
        <v>3982.3900000000003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6523.8</v>
      </c>
      <c r="G284" s="18">
        <v>4523.83</v>
      </c>
      <c r="H284" s="18"/>
      <c r="I284" s="18"/>
      <c r="J284" s="18"/>
      <c r="K284" s="18"/>
      <c r="L284" s="19">
        <f t="shared" si="12"/>
        <v>11047.630000000001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3905.25</v>
      </c>
      <c r="I287" s="18"/>
      <c r="J287" s="18"/>
      <c r="K287" s="18"/>
      <c r="L287" s="19">
        <f t="shared" si="12"/>
        <v>3905.25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>
        <v>24947.97</v>
      </c>
      <c r="L288" s="19">
        <f>SUM(F288:K288)</f>
        <v>24947.97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643873.17000000004</v>
      </c>
      <c r="G290" s="42">
        <f t="shared" si="13"/>
        <v>227202.2</v>
      </c>
      <c r="H290" s="42">
        <f t="shared" si="13"/>
        <v>56246.349999999991</v>
      </c>
      <c r="I290" s="42">
        <f t="shared" si="13"/>
        <v>13232.77</v>
      </c>
      <c r="J290" s="42">
        <f t="shared" si="13"/>
        <v>673.5</v>
      </c>
      <c r="K290" s="42">
        <f t="shared" si="13"/>
        <v>24947.97</v>
      </c>
      <c r="L290" s="41">
        <f t="shared" si="13"/>
        <v>966175.96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145832.71</v>
      </c>
      <c r="G295" s="18">
        <v>64521.680000000008</v>
      </c>
      <c r="H295" s="18"/>
      <c r="I295" s="18">
        <v>5562.55</v>
      </c>
      <c r="J295" s="18"/>
      <c r="K295" s="18"/>
      <c r="L295" s="19">
        <f>SUM(F295:K295)</f>
        <v>215916.94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126013.42</v>
      </c>
      <c r="G296" s="18">
        <v>68380.920000000013</v>
      </c>
      <c r="H296" s="18">
        <v>28304.32</v>
      </c>
      <c r="I296" s="18">
        <v>803.99</v>
      </c>
      <c r="J296" s="18"/>
      <c r="K296" s="18"/>
      <c r="L296" s="19">
        <f>SUM(F296:K296)</f>
        <v>223502.65000000002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22543.63</v>
      </c>
      <c r="G300" s="18">
        <v>3644.9300000000003</v>
      </c>
      <c r="H300" s="18">
        <v>6330.26</v>
      </c>
      <c r="I300" s="18">
        <v>1096.8900000000001</v>
      </c>
      <c r="J300" s="18"/>
      <c r="K300" s="18"/>
      <c r="L300" s="19">
        <f t="shared" ref="L300:L306" si="14">SUM(F300:K300)</f>
        <v>33615.71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63723.69</v>
      </c>
      <c r="G301" s="18">
        <v>41502.86</v>
      </c>
      <c r="H301" s="18">
        <v>1271.1099999999999</v>
      </c>
      <c r="I301" s="18">
        <v>484.14</v>
      </c>
      <c r="J301" s="18"/>
      <c r="K301" s="18"/>
      <c r="L301" s="19">
        <f t="shared" si="14"/>
        <v>106981.8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814.54</v>
      </c>
      <c r="G302" s="18">
        <v>175.17</v>
      </c>
      <c r="H302" s="18">
        <v>1595.23</v>
      </c>
      <c r="I302" s="18">
        <v>623.11</v>
      </c>
      <c r="J302" s="18">
        <v>5000</v>
      </c>
      <c r="K302" s="18"/>
      <c r="L302" s="19">
        <f t="shared" si="14"/>
        <v>8208.0499999999993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>
        <v>5255.29</v>
      </c>
      <c r="G303" s="18">
        <v>3644.2</v>
      </c>
      <c r="H303" s="18"/>
      <c r="I303" s="18"/>
      <c r="J303" s="18"/>
      <c r="K303" s="18"/>
      <c r="L303" s="19">
        <f t="shared" si="14"/>
        <v>8899.49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>
        <v>84.79</v>
      </c>
      <c r="I306" s="18"/>
      <c r="J306" s="18"/>
      <c r="K306" s="18"/>
      <c r="L306" s="19">
        <f t="shared" si="14"/>
        <v>84.79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>
        <v>20096.989999999998</v>
      </c>
      <c r="L307" s="19">
        <f>SUM(F307:K307)</f>
        <v>20096.989999999998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364183.27999999997</v>
      </c>
      <c r="G309" s="42">
        <f t="shared" si="15"/>
        <v>181869.76000000004</v>
      </c>
      <c r="H309" s="42">
        <f t="shared" si="15"/>
        <v>37585.710000000006</v>
      </c>
      <c r="I309" s="42">
        <f t="shared" si="15"/>
        <v>8570.68</v>
      </c>
      <c r="J309" s="42">
        <f t="shared" si="15"/>
        <v>5000</v>
      </c>
      <c r="K309" s="42">
        <f t="shared" si="15"/>
        <v>20096.989999999998</v>
      </c>
      <c r="L309" s="41">
        <f t="shared" si="15"/>
        <v>617306.42000000016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525262.15999999992</v>
      </c>
      <c r="G315" s="18">
        <v>302748.95000000007</v>
      </c>
      <c r="H315" s="18">
        <v>42338.33</v>
      </c>
      <c r="I315" s="18">
        <v>2866.8599999999997</v>
      </c>
      <c r="J315" s="18"/>
      <c r="K315" s="18"/>
      <c r="L315" s="19">
        <f>SUM(F315:K315)</f>
        <v>873216.29999999993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>
        <v>48247.4</v>
      </c>
      <c r="J316" s="18">
        <v>36618.480000000003</v>
      </c>
      <c r="K316" s="18">
        <v>223</v>
      </c>
      <c r="L316" s="19">
        <f>SUM(F316:K316)</f>
        <v>85088.88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27207.83</v>
      </c>
      <c r="G319" s="18">
        <v>4399.05</v>
      </c>
      <c r="H319" s="18">
        <v>19415.25</v>
      </c>
      <c r="I319" s="18">
        <v>11823.84</v>
      </c>
      <c r="J319" s="18"/>
      <c r="K319" s="18">
        <v>1512</v>
      </c>
      <c r="L319" s="19">
        <f t="shared" ref="L319:L325" si="16">SUM(F319:K319)</f>
        <v>64357.97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19232.3</v>
      </c>
      <c r="G320" s="18">
        <v>6875.5999999999995</v>
      </c>
      <c r="H320" s="18">
        <v>42610.21</v>
      </c>
      <c r="I320" s="18">
        <v>12005.06</v>
      </c>
      <c r="J320" s="18"/>
      <c r="K320" s="18">
        <v>4128.6399999999994</v>
      </c>
      <c r="L320" s="19">
        <f t="shared" si="16"/>
        <v>84851.81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983.06</v>
      </c>
      <c r="G321" s="18">
        <v>7191.41</v>
      </c>
      <c r="H321" s="18">
        <v>1925.27</v>
      </c>
      <c r="I321" s="18">
        <v>1251.0300000000002</v>
      </c>
      <c r="J321" s="18"/>
      <c r="K321" s="18"/>
      <c r="L321" s="19">
        <f t="shared" si="16"/>
        <v>11350.77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v>6342.59</v>
      </c>
      <c r="G322" s="18">
        <v>4398.17</v>
      </c>
      <c r="H322" s="18"/>
      <c r="I322" s="18"/>
      <c r="J322" s="18"/>
      <c r="K322" s="18"/>
      <c r="L322" s="19">
        <f t="shared" si="16"/>
        <v>10740.76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>
        <v>1595.72</v>
      </c>
      <c r="I324" s="18">
        <v>7818.78</v>
      </c>
      <c r="J324" s="18"/>
      <c r="K324" s="18"/>
      <c r="L324" s="19">
        <f t="shared" si="16"/>
        <v>9414.5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>
        <v>3230.77</v>
      </c>
      <c r="I325" s="18"/>
      <c r="J325" s="18"/>
      <c r="K325" s="18"/>
      <c r="L325" s="19">
        <f t="shared" si="16"/>
        <v>3230.77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>
        <v>28143.179999999997</v>
      </c>
      <c r="L326" s="19">
        <f>SUM(F326:K326)</f>
        <v>28143.179999999997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579027.93999999994</v>
      </c>
      <c r="G328" s="42">
        <f t="shared" si="17"/>
        <v>325613.18</v>
      </c>
      <c r="H328" s="42">
        <f t="shared" si="17"/>
        <v>111115.55000000002</v>
      </c>
      <c r="I328" s="42">
        <f t="shared" si="17"/>
        <v>84012.97</v>
      </c>
      <c r="J328" s="42">
        <f t="shared" si="17"/>
        <v>36618.480000000003</v>
      </c>
      <c r="K328" s="42">
        <f t="shared" si="17"/>
        <v>34006.819999999992</v>
      </c>
      <c r="L328" s="41">
        <f t="shared" si="17"/>
        <v>1170394.94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>
        <v>60703.89</v>
      </c>
      <c r="G332" s="18">
        <v>20372.859999999997</v>
      </c>
      <c r="H332" s="18">
        <v>70565.64</v>
      </c>
      <c r="I332" s="18">
        <v>11629.54</v>
      </c>
      <c r="J332" s="18">
        <v>61745.25</v>
      </c>
      <c r="K332" s="18"/>
      <c r="L332" s="19">
        <f t="shared" ref="L332:L337" si="18">SUM(F332:K332)</f>
        <v>225017.18000000002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684281.11</v>
      </c>
      <c r="G333" s="18">
        <v>98475.37</v>
      </c>
      <c r="H333" s="18">
        <v>3430.97</v>
      </c>
      <c r="I333" s="18">
        <v>44604.13</v>
      </c>
      <c r="J333" s="18">
        <v>269.99</v>
      </c>
      <c r="K333" s="18">
        <v>28107.120000000003</v>
      </c>
      <c r="L333" s="19">
        <f t="shared" si="18"/>
        <v>859168.69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744985</v>
      </c>
      <c r="G337" s="41">
        <f t="shared" si="19"/>
        <v>118848.23</v>
      </c>
      <c r="H337" s="41">
        <f t="shared" si="19"/>
        <v>73996.61</v>
      </c>
      <c r="I337" s="41">
        <f t="shared" si="19"/>
        <v>56233.67</v>
      </c>
      <c r="J337" s="41">
        <f t="shared" si="19"/>
        <v>62015.24</v>
      </c>
      <c r="K337" s="41">
        <f t="shared" si="19"/>
        <v>28107.120000000003</v>
      </c>
      <c r="L337" s="41">
        <f t="shared" si="18"/>
        <v>1084185.8700000001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2332069.3899999997</v>
      </c>
      <c r="G338" s="41">
        <f t="shared" si="20"/>
        <v>853533.37000000011</v>
      </c>
      <c r="H338" s="41">
        <f t="shared" si="20"/>
        <v>278944.22000000003</v>
      </c>
      <c r="I338" s="41">
        <f t="shared" si="20"/>
        <v>162050.09</v>
      </c>
      <c r="J338" s="41">
        <f t="shared" si="20"/>
        <v>104307.22</v>
      </c>
      <c r="K338" s="41">
        <f t="shared" si="20"/>
        <v>107158.9</v>
      </c>
      <c r="L338" s="41">
        <f t="shared" si="20"/>
        <v>3838063.1900000004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2332069.3899999997</v>
      </c>
      <c r="G352" s="41">
        <f>G338</f>
        <v>853533.37000000011</v>
      </c>
      <c r="H352" s="41">
        <f>H338</f>
        <v>278944.22000000003</v>
      </c>
      <c r="I352" s="41">
        <f>I338</f>
        <v>162050.09</v>
      </c>
      <c r="J352" s="41">
        <f>J338</f>
        <v>104307.22</v>
      </c>
      <c r="K352" s="47">
        <f>K338+K351</f>
        <v>107158.9</v>
      </c>
      <c r="L352" s="41">
        <f>L338+L351</f>
        <v>3838063.1900000004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10049.5</v>
      </c>
      <c r="G358" s="18">
        <v>4173.43</v>
      </c>
      <c r="H358" s="18">
        <v>517582.52</v>
      </c>
      <c r="I358" s="18">
        <v>34636.480000000003</v>
      </c>
      <c r="J358" s="18">
        <v>2966.53</v>
      </c>
      <c r="K358" s="18">
        <v>6.62</v>
      </c>
      <c r="L358" s="13">
        <f>SUM(F358:K358)</f>
        <v>569415.08000000007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7333.42</v>
      </c>
      <c r="G359" s="18">
        <v>3045.47</v>
      </c>
      <c r="H359" s="18">
        <v>377695.35</v>
      </c>
      <c r="I359" s="18">
        <v>25275.26</v>
      </c>
      <c r="J359" s="18">
        <v>2164.75</v>
      </c>
      <c r="K359" s="18">
        <v>4.83</v>
      </c>
      <c r="L359" s="19">
        <f>SUM(F359:K359)</f>
        <v>415519.08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9777.89</v>
      </c>
      <c r="G360" s="18">
        <v>4060.63</v>
      </c>
      <c r="H360" s="18">
        <v>503593.8</v>
      </c>
      <c r="I360" s="18">
        <v>33700.35</v>
      </c>
      <c r="J360" s="18">
        <v>2886.34</v>
      </c>
      <c r="K360" s="18">
        <v>6.44</v>
      </c>
      <c r="L360" s="19">
        <f>SUM(F360:K360)</f>
        <v>554025.44999999995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27160.809999999998</v>
      </c>
      <c r="G362" s="47">
        <f t="shared" si="22"/>
        <v>11279.529999999999</v>
      </c>
      <c r="H362" s="47">
        <f t="shared" si="22"/>
        <v>1398871.67</v>
      </c>
      <c r="I362" s="47">
        <f t="shared" si="22"/>
        <v>93612.09</v>
      </c>
      <c r="J362" s="47">
        <f t="shared" si="22"/>
        <v>8017.6200000000008</v>
      </c>
      <c r="K362" s="47">
        <f t="shared" si="22"/>
        <v>17.89</v>
      </c>
      <c r="L362" s="47">
        <f t="shared" si="22"/>
        <v>1538959.61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31839.55</v>
      </c>
      <c r="G367" s="18">
        <v>25648.53</v>
      </c>
      <c r="H367" s="18">
        <v>30955.11</v>
      </c>
      <c r="I367" s="56">
        <f>SUM(F367:H367)</f>
        <v>88443.19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1860.8</v>
      </c>
      <c r="G368" s="63">
        <v>1498.98</v>
      </c>
      <c r="H368" s="63">
        <v>1809.12</v>
      </c>
      <c r="I368" s="56">
        <f>SUM(F368:H368)</f>
        <v>5168.8999999999996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33700.35</v>
      </c>
      <c r="G369" s="47">
        <f>SUM(G367:G368)</f>
        <v>27147.51</v>
      </c>
      <c r="H369" s="47">
        <f>SUM(H367:H368)</f>
        <v>32764.23</v>
      </c>
      <c r="I369" s="47">
        <f>SUM(I367:I368)</f>
        <v>93612.09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>
        <v>9100</v>
      </c>
      <c r="I375" s="18"/>
      <c r="J375" s="18"/>
      <c r="K375" s="18"/>
      <c r="L375" s="13">
        <f t="shared" ref="L375:L381" si="23">SUM(F375:K375)</f>
        <v>9100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>
        <v>2574404.11</v>
      </c>
      <c r="I376" s="18"/>
      <c r="J376" s="18"/>
      <c r="K376" s="18"/>
      <c r="L376" s="13">
        <f t="shared" si="23"/>
        <v>2574404.11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>
        <v>27904040</v>
      </c>
      <c r="I378" s="18"/>
      <c r="J378" s="18"/>
      <c r="K378" s="18"/>
      <c r="L378" s="13">
        <f t="shared" si="23"/>
        <v>27904040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>
        <v>41648.54</v>
      </c>
      <c r="G380" s="18">
        <v>19262.25</v>
      </c>
      <c r="H380" s="18">
        <v>34438.46</v>
      </c>
      <c r="I380" s="18"/>
      <c r="J380" s="18"/>
      <c r="K380" s="18"/>
      <c r="L380" s="13">
        <f t="shared" si="23"/>
        <v>95349.25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41648.54</v>
      </c>
      <c r="G382" s="139">
        <f t="shared" ref="G382:L382" si="24">SUM(G374:G381)</f>
        <v>19262.25</v>
      </c>
      <c r="H382" s="139">
        <f t="shared" si="24"/>
        <v>30521982.57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30582893.359999999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0</v>
      </c>
      <c r="G465" s="18">
        <v>451352.81</v>
      </c>
      <c r="H465" s="18">
        <v>588921.22</v>
      </c>
      <c r="I465" s="18">
        <v>0</v>
      </c>
      <c r="J465" s="18">
        <v>0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56762906.789999999</v>
      </c>
      <c r="G468" s="18">
        <v>1557126.08</v>
      </c>
      <c r="H468" s="18">
        <v>3867159.9699999997</v>
      </c>
      <c r="I468" s="18">
        <v>32010690.359999999</v>
      </c>
      <c r="J468" s="18"/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>
        <v>5837.22</v>
      </c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56762906.789999999</v>
      </c>
      <c r="G470" s="53">
        <f>SUM(G468:G469)</f>
        <v>1562963.3</v>
      </c>
      <c r="H470" s="53">
        <f>SUM(H468:H469)</f>
        <v>3867159.9699999997</v>
      </c>
      <c r="I470" s="53">
        <f>SUM(I468:I469)</f>
        <v>32010690.359999999</v>
      </c>
      <c r="J470" s="53">
        <f>SUM(J468:J469)</f>
        <v>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56443040.710000001</v>
      </c>
      <c r="G472" s="18">
        <v>1538959.6099999999</v>
      </c>
      <c r="H472" s="18">
        <v>3838063.19</v>
      </c>
      <c r="I472" s="18">
        <v>30582893.359999999</v>
      </c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319866.08</v>
      </c>
      <c r="G473" s="18"/>
      <c r="H473" s="18"/>
      <c r="I473" s="18">
        <v>1427797</v>
      </c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56762906.789999999</v>
      </c>
      <c r="G474" s="53">
        <f>SUM(G472:G473)</f>
        <v>1538959.6099999999</v>
      </c>
      <c r="H474" s="53">
        <f>SUM(H472:H473)</f>
        <v>3838063.19</v>
      </c>
      <c r="I474" s="53">
        <f>SUM(I472:I473)</f>
        <v>32010690.359999999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0</v>
      </c>
      <c r="G476" s="53">
        <f>(G465+G470)- G474</f>
        <v>475356.50000000023</v>
      </c>
      <c r="H476" s="53">
        <f>(H465+H470)- H474</f>
        <v>618017.99999999953</v>
      </c>
      <c r="I476" s="53">
        <f>(I465+I470)- I474</f>
        <v>0</v>
      </c>
      <c r="J476" s="53">
        <f>(J465+J470)- J474</f>
        <v>0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90488021.349999994</v>
      </c>
      <c r="G495" s="18"/>
      <c r="H495" s="18"/>
      <c r="I495" s="18"/>
      <c r="J495" s="18"/>
      <c r="K495" s="53">
        <f>SUM(F495:J495)</f>
        <v>90488021.349999994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2046065.36</v>
      </c>
      <c r="G497" s="18"/>
      <c r="H497" s="18"/>
      <c r="I497" s="18"/>
      <c r="J497" s="18"/>
      <c r="K497" s="53">
        <f t="shared" si="35"/>
        <v>2046065.36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88441955.989999995</v>
      </c>
      <c r="G498" s="204"/>
      <c r="H498" s="204"/>
      <c r="I498" s="204"/>
      <c r="J498" s="204"/>
      <c r="K498" s="205">
        <f t="shared" si="35"/>
        <v>88441955.989999995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45700901.600000001</v>
      </c>
      <c r="G499" s="18"/>
      <c r="H499" s="18"/>
      <c r="I499" s="18"/>
      <c r="J499" s="18"/>
      <c r="K499" s="53">
        <f t="shared" si="35"/>
        <v>45700901.600000001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134142857.59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134142857.59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2007771</v>
      </c>
      <c r="G501" s="204"/>
      <c r="H501" s="204"/>
      <c r="I501" s="204"/>
      <c r="J501" s="204"/>
      <c r="K501" s="205">
        <f t="shared" si="35"/>
        <v>2007771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3970916</v>
      </c>
      <c r="G502" s="18"/>
      <c r="H502" s="18"/>
      <c r="I502" s="18"/>
      <c r="J502" s="18"/>
      <c r="K502" s="53">
        <f t="shared" si="35"/>
        <v>3970916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5978687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5978687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>
        <v>0</v>
      </c>
      <c r="H507" s="144">
        <v>193207.66</v>
      </c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2213018</v>
      </c>
      <c r="G521" s="18">
        <v>803190.96</v>
      </c>
      <c r="H521" s="18">
        <v>574109.76</v>
      </c>
      <c r="I521" s="18">
        <v>9721.3700000000008</v>
      </c>
      <c r="J521" s="18">
        <v>4428.05</v>
      </c>
      <c r="K521" s="18">
        <v>0</v>
      </c>
      <c r="L521" s="88">
        <f>SUM(F521:K521)</f>
        <v>3604468.1399999997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1744261.45</v>
      </c>
      <c r="G522" s="18">
        <v>588840.13</v>
      </c>
      <c r="H522" s="18">
        <v>967125.33</v>
      </c>
      <c r="I522" s="18">
        <v>8731.09</v>
      </c>
      <c r="J522" s="18">
        <v>277.56</v>
      </c>
      <c r="K522" s="18">
        <v>0</v>
      </c>
      <c r="L522" s="88">
        <f>SUM(F522:K522)</f>
        <v>3309235.56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1642183.99</v>
      </c>
      <c r="G523" s="18">
        <v>708279.7</v>
      </c>
      <c r="H523" s="18">
        <v>689255.68</v>
      </c>
      <c r="I523" s="18">
        <v>10033.69</v>
      </c>
      <c r="J523" s="18">
        <v>4068.03</v>
      </c>
      <c r="K523" s="18">
        <v>350</v>
      </c>
      <c r="L523" s="88">
        <f>SUM(F523:K523)</f>
        <v>3054171.09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5599463.4400000004</v>
      </c>
      <c r="G524" s="108">
        <f t="shared" ref="G524:L524" si="36">SUM(G521:G523)</f>
        <v>2100310.79</v>
      </c>
      <c r="H524" s="108">
        <f t="shared" si="36"/>
        <v>2230490.77</v>
      </c>
      <c r="I524" s="108">
        <f t="shared" si="36"/>
        <v>28486.15</v>
      </c>
      <c r="J524" s="108">
        <f t="shared" si="36"/>
        <v>8773.6400000000012</v>
      </c>
      <c r="K524" s="108">
        <f t="shared" si="36"/>
        <v>350</v>
      </c>
      <c r="L524" s="89">
        <f t="shared" si="36"/>
        <v>9967874.7899999991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457830.55</v>
      </c>
      <c r="G526" s="18">
        <v>255213.21</v>
      </c>
      <c r="H526" s="18">
        <v>136056.12</v>
      </c>
      <c r="I526" s="18">
        <v>2233.2199999999998</v>
      </c>
      <c r="J526" s="18"/>
      <c r="K526" s="18"/>
      <c r="L526" s="88">
        <f>SUM(F526:K526)</f>
        <v>851333.1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213360.23</v>
      </c>
      <c r="G527" s="18">
        <v>84664.25</v>
      </c>
      <c r="H527" s="18">
        <v>21188.65</v>
      </c>
      <c r="I527" s="18">
        <v>1096.8900000000001</v>
      </c>
      <c r="J527" s="18"/>
      <c r="K527" s="18"/>
      <c r="L527" s="88">
        <f>SUM(F527:K527)</f>
        <v>320310.02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127981.07</v>
      </c>
      <c r="G528" s="18">
        <v>52160.62</v>
      </c>
      <c r="H528" s="18">
        <v>31370.26</v>
      </c>
      <c r="I528" s="18">
        <v>11823.84</v>
      </c>
      <c r="J528" s="18"/>
      <c r="K528" s="18">
        <v>1512</v>
      </c>
      <c r="L528" s="88">
        <f>SUM(F528:K528)</f>
        <v>224847.79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799171.85000000009</v>
      </c>
      <c r="G529" s="89">
        <f t="shared" ref="G529:L529" si="37">SUM(G526:G528)</f>
        <v>392038.07999999996</v>
      </c>
      <c r="H529" s="89">
        <f t="shared" si="37"/>
        <v>188615.03</v>
      </c>
      <c r="I529" s="89">
        <f t="shared" si="37"/>
        <v>15153.95</v>
      </c>
      <c r="J529" s="89">
        <f t="shared" si="37"/>
        <v>0</v>
      </c>
      <c r="K529" s="89">
        <f t="shared" si="37"/>
        <v>1512</v>
      </c>
      <c r="L529" s="89">
        <f t="shared" si="37"/>
        <v>1396490.9100000001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87641.78</v>
      </c>
      <c r="G531" s="18">
        <v>37675.82</v>
      </c>
      <c r="H531" s="18">
        <v>49212.71</v>
      </c>
      <c r="I531" s="18">
        <v>8430.98</v>
      </c>
      <c r="J531" s="18">
        <v>7048.74</v>
      </c>
      <c r="K531" s="18">
        <v>10560.45</v>
      </c>
      <c r="L531" s="88">
        <f>SUM(F531:K531)</f>
        <v>200570.48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70600.33</v>
      </c>
      <c r="G532" s="18">
        <v>30349.97</v>
      </c>
      <c r="H532" s="18">
        <v>39643.57</v>
      </c>
      <c r="I532" s="18">
        <v>6791.62</v>
      </c>
      <c r="J532" s="18">
        <v>5678.15</v>
      </c>
      <c r="K532" s="18">
        <v>8507.0300000000007</v>
      </c>
      <c r="L532" s="88">
        <f>SUM(F532:K532)</f>
        <v>161570.66999999998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85207.29</v>
      </c>
      <c r="G533" s="18">
        <v>36629.269999999997</v>
      </c>
      <c r="H533" s="18">
        <v>47845.69</v>
      </c>
      <c r="I533" s="18">
        <v>8196.7800000000007</v>
      </c>
      <c r="J533" s="18">
        <v>6852.94</v>
      </c>
      <c r="K533" s="18">
        <v>10267.1</v>
      </c>
      <c r="L533" s="88">
        <f>SUM(F533:K533)</f>
        <v>194999.07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243449.39999999997</v>
      </c>
      <c r="G534" s="89">
        <f t="shared" ref="G534:L534" si="38">SUM(G531:G533)</f>
        <v>104655.06</v>
      </c>
      <c r="H534" s="89">
        <f t="shared" si="38"/>
        <v>136701.97</v>
      </c>
      <c r="I534" s="89">
        <f t="shared" si="38"/>
        <v>23419.379999999997</v>
      </c>
      <c r="J534" s="89">
        <f t="shared" si="38"/>
        <v>19579.829999999998</v>
      </c>
      <c r="K534" s="89">
        <f t="shared" si="38"/>
        <v>29334.58</v>
      </c>
      <c r="L534" s="89">
        <f t="shared" si="38"/>
        <v>557140.22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3001.7799999999997</v>
      </c>
      <c r="I536" s="18"/>
      <c r="J536" s="18"/>
      <c r="K536" s="18"/>
      <c r="L536" s="88">
        <f>SUM(F536:K536)</f>
        <v>3001.7799999999997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5079.4799999999996</v>
      </c>
      <c r="I537" s="18"/>
      <c r="J537" s="18"/>
      <c r="K537" s="18"/>
      <c r="L537" s="88">
        <f>SUM(F537:K537)</f>
        <v>5079.4799999999996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2918.38</v>
      </c>
      <c r="I538" s="18"/>
      <c r="J538" s="18"/>
      <c r="K538" s="18"/>
      <c r="L538" s="88">
        <f>SUM(F538:K538)</f>
        <v>2918.38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10999.64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10999.64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212942.66999999998</v>
      </c>
      <c r="I541" s="18"/>
      <c r="J541" s="18"/>
      <c r="K541" s="18"/>
      <c r="L541" s="88">
        <f>SUM(F541:K541)</f>
        <v>212942.66999999998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335655</v>
      </c>
      <c r="I542" s="18"/>
      <c r="J542" s="18"/>
      <c r="K542" s="18"/>
      <c r="L542" s="88">
        <f>SUM(F542:K542)</f>
        <v>335655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209112.53</v>
      </c>
      <c r="I543" s="18"/>
      <c r="J543" s="18"/>
      <c r="K543" s="18"/>
      <c r="L543" s="88">
        <f>SUM(F543:K543)</f>
        <v>209112.53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757710.2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757710.2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6642084.6900000013</v>
      </c>
      <c r="G545" s="89">
        <f t="shared" ref="G545:L545" si="41">G524+G529+G534+G539+G544</f>
        <v>2597003.9300000002</v>
      </c>
      <c r="H545" s="89">
        <f t="shared" si="41"/>
        <v>3324517.6100000003</v>
      </c>
      <c r="I545" s="89">
        <f t="shared" si="41"/>
        <v>67059.48000000001</v>
      </c>
      <c r="J545" s="89">
        <f t="shared" si="41"/>
        <v>28353.47</v>
      </c>
      <c r="K545" s="89">
        <f t="shared" si="41"/>
        <v>31196.58</v>
      </c>
      <c r="L545" s="89">
        <f t="shared" si="41"/>
        <v>12690215.76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3604468.1399999997</v>
      </c>
      <c r="G549" s="87">
        <f>L526</f>
        <v>851333.1</v>
      </c>
      <c r="H549" s="87">
        <f>L531</f>
        <v>200570.48</v>
      </c>
      <c r="I549" s="87">
        <f>L536</f>
        <v>3001.7799999999997</v>
      </c>
      <c r="J549" s="87">
        <f>L541</f>
        <v>212942.66999999998</v>
      </c>
      <c r="K549" s="87">
        <f>SUM(F549:J549)</f>
        <v>4872316.17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3309235.56</v>
      </c>
      <c r="G550" s="87">
        <f>L527</f>
        <v>320310.02</v>
      </c>
      <c r="H550" s="87">
        <f>L532</f>
        <v>161570.66999999998</v>
      </c>
      <c r="I550" s="87">
        <f>L537</f>
        <v>5079.4799999999996</v>
      </c>
      <c r="J550" s="87">
        <f>L542</f>
        <v>335655</v>
      </c>
      <c r="K550" s="87">
        <f>SUM(F550:J550)</f>
        <v>4131850.73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3054171.09</v>
      </c>
      <c r="G551" s="87">
        <f>L528</f>
        <v>224847.79</v>
      </c>
      <c r="H551" s="87">
        <f>L533</f>
        <v>194999.07</v>
      </c>
      <c r="I551" s="87">
        <f>L538</f>
        <v>2918.38</v>
      </c>
      <c r="J551" s="87">
        <f>L543</f>
        <v>209112.53</v>
      </c>
      <c r="K551" s="87">
        <f>SUM(F551:J551)</f>
        <v>3686048.8599999994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9967874.7899999991</v>
      </c>
      <c r="G552" s="89">
        <f t="shared" si="42"/>
        <v>1396490.9100000001</v>
      </c>
      <c r="H552" s="89">
        <f t="shared" si="42"/>
        <v>557140.22</v>
      </c>
      <c r="I552" s="89">
        <f t="shared" si="42"/>
        <v>10999.64</v>
      </c>
      <c r="J552" s="89">
        <f t="shared" si="42"/>
        <v>757710.2</v>
      </c>
      <c r="K552" s="89">
        <f t="shared" si="42"/>
        <v>12690215.76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472.52</v>
      </c>
      <c r="G579" s="18"/>
      <c r="H579" s="18"/>
      <c r="I579" s="87">
        <f t="shared" si="47"/>
        <v>472.52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280444.96999999997</v>
      </c>
      <c r="G582" s="18">
        <v>801482.85</v>
      </c>
      <c r="H582" s="18">
        <v>608200.67000000004</v>
      </c>
      <c r="I582" s="87">
        <f t="shared" si="47"/>
        <v>1690128.4899999998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10979.54</v>
      </c>
      <c r="I584" s="87">
        <f t="shared" si="47"/>
        <v>10979.54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443351.54</v>
      </c>
      <c r="I591" s="18">
        <v>357144.29</v>
      </c>
      <c r="J591" s="18">
        <v>431036.22</v>
      </c>
      <c r="K591" s="104">
        <f t="shared" ref="K591:K597" si="48">SUM(H591:J591)</f>
        <v>1231532.0499999998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228495.03</v>
      </c>
      <c r="I592" s="18">
        <v>328607.83</v>
      </c>
      <c r="J592" s="18">
        <v>200607.34</v>
      </c>
      <c r="K592" s="104">
        <f t="shared" si="48"/>
        <v>757710.2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83875.87</v>
      </c>
      <c r="K593" s="104">
        <f t="shared" si="48"/>
        <v>83875.87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12213.56</v>
      </c>
      <c r="J594" s="18">
        <v>101327.1</v>
      </c>
      <c r="K594" s="104">
        <f t="shared" si="48"/>
        <v>113540.66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>
        <v>9091.75</v>
      </c>
      <c r="K595" s="104">
        <f t="shared" si="48"/>
        <v>9091.75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26163.14</v>
      </c>
      <c r="I597" s="18">
        <v>21075.87</v>
      </c>
      <c r="J597" s="18">
        <v>25801.17</v>
      </c>
      <c r="K597" s="104">
        <f t="shared" si="48"/>
        <v>73040.179999999993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698009.71</v>
      </c>
      <c r="I598" s="108">
        <f>SUM(I591:I597)</f>
        <v>719041.55</v>
      </c>
      <c r="J598" s="108">
        <f>SUM(J591:J597)</f>
        <v>851739.45</v>
      </c>
      <c r="K598" s="108">
        <f>SUM(K591:K597)</f>
        <v>2268790.71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40933.980000000003</v>
      </c>
      <c r="I604" s="18">
        <v>125230.17</v>
      </c>
      <c r="J604" s="18">
        <v>159852.31</v>
      </c>
      <c r="K604" s="104">
        <f>SUM(H604:J604)</f>
        <v>326016.45999999996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40933.980000000003</v>
      </c>
      <c r="I605" s="108">
        <f>SUM(I602:I604)</f>
        <v>125230.17</v>
      </c>
      <c r="J605" s="108">
        <f>SUM(J602:J604)</f>
        <v>159852.31</v>
      </c>
      <c r="K605" s="108">
        <f>SUM(K602:K604)</f>
        <v>326016.45999999996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27256.26</v>
      </c>
      <c r="G611" s="18">
        <v>3962.84</v>
      </c>
      <c r="H611" s="18"/>
      <c r="I611" s="18">
        <v>240.78</v>
      </c>
      <c r="J611" s="18"/>
      <c r="K611" s="18"/>
      <c r="L611" s="88">
        <f>SUM(F611:K611)</f>
        <v>31459.879999999997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18736.63</v>
      </c>
      <c r="G612" s="18">
        <v>2559.23</v>
      </c>
      <c r="H612" s="18"/>
      <c r="I612" s="18"/>
      <c r="J612" s="18"/>
      <c r="K612" s="18"/>
      <c r="L612" s="88">
        <f>SUM(F612:K612)</f>
        <v>21295.86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23982.03</v>
      </c>
      <c r="G613" s="18">
        <v>3404.95</v>
      </c>
      <c r="H613" s="18"/>
      <c r="I613" s="18"/>
      <c r="J613" s="18"/>
      <c r="K613" s="18"/>
      <c r="L613" s="88">
        <f>SUM(F613:K613)</f>
        <v>27386.98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69974.92</v>
      </c>
      <c r="G614" s="108">
        <f t="shared" si="49"/>
        <v>9927.02</v>
      </c>
      <c r="H614" s="108">
        <f t="shared" si="49"/>
        <v>0</v>
      </c>
      <c r="I614" s="108">
        <f t="shared" si="49"/>
        <v>240.78</v>
      </c>
      <c r="J614" s="108">
        <f t="shared" si="49"/>
        <v>0</v>
      </c>
      <c r="K614" s="108">
        <f t="shared" si="49"/>
        <v>0</v>
      </c>
      <c r="L614" s="89">
        <f t="shared" si="49"/>
        <v>80142.720000000001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0</v>
      </c>
      <c r="H617" s="109">
        <f>SUM(F52)</f>
        <v>0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1179475.8900000001</v>
      </c>
      <c r="H618" s="109">
        <f>SUM(G52)</f>
        <v>1179475.8899999999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618018</v>
      </c>
      <c r="H619" s="109">
        <f>SUM(H52)</f>
        <v>618018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0</v>
      </c>
      <c r="H621" s="109">
        <f>SUM(J52)</f>
        <v>0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475356.5</v>
      </c>
      <c r="H623" s="109">
        <f>G476</f>
        <v>475356.50000000023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618018</v>
      </c>
      <c r="H624" s="109">
        <f>H476</f>
        <v>618017.99999999953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56762906.789999992</v>
      </c>
      <c r="H627" s="104">
        <f>SUM(F468)</f>
        <v>56762906.789999999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1557126.0799999998</v>
      </c>
      <c r="H628" s="104">
        <f>SUM(G468)</f>
        <v>1557126.08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3867159.97</v>
      </c>
      <c r="H629" s="104">
        <f>SUM(H468)</f>
        <v>3867159.9699999997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32010690.359999999</v>
      </c>
      <c r="H630" s="104">
        <f>SUM(I468)</f>
        <v>32010690.359999999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56443040.709999993</v>
      </c>
      <c r="H632" s="104">
        <f>SUM(F472)</f>
        <v>56443040.710000001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3838063.1900000004</v>
      </c>
      <c r="H633" s="104">
        <f>SUM(H472)</f>
        <v>3838063.19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93612.09</v>
      </c>
      <c r="H634" s="104">
        <f>I369</f>
        <v>93612.09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1538959.61</v>
      </c>
      <c r="H635" s="104">
        <f>SUM(G472)</f>
        <v>1538959.6099999999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30582893.359999999</v>
      </c>
      <c r="H636" s="104">
        <f>SUM(I472)</f>
        <v>30582893.359999999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0</v>
      </c>
      <c r="H646" s="104">
        <f>L408</f>
        <v>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2268790.71</v>
      </c>
      <c r="H647" s="104">
        <f>L208+L226+L244</f>
        <v>2268790.71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326016.45999999996</v>
      </c>
      <c r="H648" s="104">
        <f>(J257+J338)-(J255+J336)</f>
        <v>326016.45999999996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698009.71000000008</v>
      </c>
      <c r="H649" s="104">
        <f>H598</f>
        <v>698009.71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719041.54999999993</v>
      </c>
      <c r="H650" s="104">
        <f>I598</f>
        <v>719041.55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851739.45000000007</v>
      </c>
      <c r="H651" s="104">
        <f>J598</f>
        <v>851739.45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28818.89</v>
      </c>
      <c r="H652" s="104">
        <f>K263+K345</f>
        <v>28818.89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538513</v>
      </c>
      <c r="H653" s="104">
        <f>K264</f>
        <v>538513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1427797</v>
      </c>
      <c r="H654" s="104">
        <f>K265+K346</f>
        <v>1427797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19174005.43</v>
      </c>
      <c r="G660" s="19">
        <f>(L229+L309+L359)</f>
        <v>14183007.700000001</v>
      </c>
      <c r="H660" s="19">
        <f>(L247+L328+L360)</f>
        <v>18566233.020000003</v>
      </c>
      <c r="I660" s="19">
        <f>SUM(F660:H660)</f>
        <v>51923246.150000006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280438.426167814</v>
      </c>
      <c r="G661" s="19">
        <f>(L359/IF(SUM(L358:L360)=0,1,SUM(L358:L360))*(SUM(G97:G110)))</f>
        <v>204644.24096021129</v>
      </c>
      <c r="H661" s="19">
        <f>(L360/IF(SUM(L358:L360)=0,1,SUM(L358:L360))*(SUM(G97:G110)))</f>
        <v>272858.99287197471</v>
      </c>
      <c r="I661" s="19">
        <f>SUM(F661:H661)</f>
        <v>757941.66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701914.96000000008</v>
      </c>
      <c r="G662" s="19">
        <f>(L226+L306)-(J226+J306)</f>
        <v>719126.34</v>
      </c>
      <c r="H662" s="19">
        <f>(L244+L325)-(J244+J325)</f>
        <v>854970.22000000009</v>
      </c>
      <c r="I662" s="19">
        <f>SUM(F662:H662)</f>
        <v>2276011.52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353311.35</v>
      </c>
      <c r="G663" s="199">
        <f>SUM(G575:G587)+SUM(I602:I604)+L612</f>
        <v>948008.88</v>
      </c>
      <c r="H663" s="199">
        <f>SUM(H575:H587)+SUM(J602:J604)+L613</f>
        <v>806419.5</v>
      </c>
      <c r="I663" s="19">
        <f>SUM(F663:H663)</f>
        <v>2107739.73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17838340.693832185</v>
      </c>
      <c r="G664" s="19">
        <f>G660-SUM(G661:G663)</f>
        <v>12311228.23903979</v>
      </c>
      <c r="H664" s="19">
        <f>H660-SUM(H661:H663)</f>
        <v>16631984.307128029</v>
      </c>
      <c r="I664" s="19">
        <f>I660-SUM(I661:I663)</f>
        <v>46781553.24000001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1444.71</v>
      </c>
      <c r="G665" s="248">
        <v>1187.53</v>
      </c>
      <c r="H665" s="248">
        <v>1296.92</v>
      </c>
      <c r="I665" s="19">
        <f>SUM(F665:H665)</f>
        <v>3929.16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12347.35</v>
      </c>
      <c r="G667" s="19">
        <f>ROUND(G664/G665,2)</f>
        <v>10367.09</v>
      </c>
      <c r="H667" s="19">
        <f>ROUND(H664/H665,2)</f>
        <v>12824.22</v>
      </c>
      <c r="I667" s="19">
        <f>ROUND(I664/I665,2)</f>
        <v>11906.25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29.82</v>
      </c>
      <c r="I670" s="19">
        <f>SUM(F670:H670)</f>
        <v>29.82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12347.35</v>
      </c>
      <c r="G672" s="19">
        <f>ROUND((G664+G669)/(G665+G670),2)</f>
        <v>10367.09</v>
      </c>
      <c r="H672" s="19">
        <f>ROUND((H664+H669)/(H665+H670),2)</f>
        <v>12535.98</v>
      </c>
      <c r="I672" s="19">
        <f>ROUND((I664+I669)/(I665+I670),2)</f>
        <v>11816.57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>
    <dataRefs count="1">
      <dataRef ref="F9:L672" sheet="DOE25"/>
    </dataRefs>
  </dataConsolidate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 xml:space="preserve">Dover 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13839945.590000002</v>
      </c>
      <c r="C9" s="229">
        <f>'DOE25'!G197+'DOE25'!G215+'DOE25'!G233+'DOE25'!G276+'DOE25'!G295+'DOE25'!G314</f>
        <v>7249036.3600000003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5842912.8399999999</v>
      </c>
      <c r="C18" s="229">
        <f>'DOE25'!G198+'DOE25'!G216+'DOE25'!G234+'DOE25'!G277+'DOE25'!G296+'DOE25'!G315</f>
        <v>2204965.85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1066021.26</v>
      </c>
      <c r="C27" s="234">
        <f>'DOE25'!G199+'DOE25'!G217+'DOE25'!G235+'DOE25'!G278+'DOE25'!G297+'DOE25'!G316</f>
        <v>556125.97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Error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337456.49</v>
      </c>
      <c r="C36" s="235">
        <f>'DOE25'!G200+'DOE25'!G218+'DOE25'!G236+'DOE25'!G279+'DOE25'!G298+'DOE25'!G317</f>
        <v>92259.199999999983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Error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 xml:space="preserve">Dover 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32192571.839999996</v>
      </c>
      <c r="D5" s="20">
        <f>SUM('DOE25'!L197:L200)+SUM('DOE25'!L215:L218)+SUM('DOE25'!L233:L236)-F5-G5</f>
        <v>32061142.689999994</v>
      </c>
      <c r="E5" s="243"/>
      <c r="F5" s="255">
        <f>SUM('DOE25'!J197:J200)+SUM('DOE25'!J215:J218)+SUM('DOE25'!J233:J236)</f>
        <v>60771.67</v>
      </c>
      <c r="G5" s="53">
        <f>SUM('DOE25'!K197:K200)+SUM('DOE25'!K215:K218)+SUM('DOE25'!K233:K236)</f>
        <v>70657.48</v>
      </c>
      <c r="H5" s="259"/>
    </row>
    <row r="6" spans="1:9" x14ac:dyDescent="0.2">
      <c r="A6" s="32">
        <v>2100</v>
      </c>
      <c r="B6" t="s">
        <v>800</v>
      </c>
      <c r="C6" s="245">
        <f t="shared" si="0"/>
        <v>3410230.68</v>
      </c>
      <c r="D6" s="20">
        <f>'DOE25'!L202+'DOE25'!L220+'DOE25'!L238-F6-G6</f>
        <v>3410230.68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864704.87000000011</v>
      </c>
      <c r="D7" s="20">
        <f>'DOE25'!L203+'DOE25'!L221+'DOE25'!L239-F7-G7</f>
        <v>864005.68000000017</v>
      </c>
      <c r="E7" s="243"/>
      <c r="F7" s="255">
        <f>'DOE25'!J203+'DOE25'!J221+'DOE25'!J239</f>
        <v>277.19</v>
      </c>
      <c r="G7" s="53">
        <f>'DOE25'!K203+'DOE25'!K221+'DOE25'!K239</f>
        <v>421.99999999999994</v>
      </c>
      <c r="H7" s="259"/>
    </row>
    <row r="8" spans="1:9" x14ac:dyDescent="0.2">
      <c r="A8" s="32">
        <v>2300</v>
      </c>
      <c r="B8" t="s">
        <v>801</v>
      </c>
      <c r="C8" s="245">
        <f t="shared" si="0"/>
        <v>906562.5399999998</v>
      </c>
      <c r="D8" s="243"/>
      <c r="E8" s="20">
        <f>'DOE25'!L204+'DOE25'!L222+'DOE25'!L240-F8-G8-D9-D11</f>
        <v>888378.19999999984</v>
      </c>
      <c r="F8" s="255">
        <f>'DOE25'!J204+'DOE25'!J222+'DOE25'!J240</f>
        <v>0</v>
      </c>
      <c r="G8" s="53">
        <f>'DOE25'!K204+'DOE25'!K222+'DOE25'!K240</f>
        <v>18184.34</v>
      </c>
      <c r="H8" s="259"/>
    </row>
    <row r="9" spans="1:9" x14ac:dyDescent="0.2">
      <c r="A9" s="32">
        <v>2310</v>
      </c>
      <c r="B9" t="s">
        <v>817</v>
      </c>
      <c r="C9" s="245">
        <f t="shared" si="0"/>
        <v>161940.92000000001</v>
      </c>
      <c r="D9" s="244">
        <v>161940.92000000001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21645</v>
      </c>
      <c r="D10" s="243"/>
      <c r="E10" s="244">
        <v>21645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273354.88</v>
      </c>
      <c r="D11" s="244">
        <v>273354.88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2617454.1100000003</v>
      </c>
      <c r="D12" s="20">
        <f>'DOE25'!L205+'DOE25'!L223+'DOE25'!L241-F12-G12</f>
        <v>2604566.14</v>
      </c>
      <c r="E12" s="243"/>
      <c r="F12" s="255">
        <f>'DOE25'!J205+'DOE25'!J223+'DOE25'!J241</f>
        <v>0</v>
      </c>
      <c r="G12" s="53">
        <f>'DOE25'!K205+'DOE25'!K223+'DOE25'!K241</f>
        <v>12887.97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4058959.7600000002</v>
      </c>
      <c r="D14" s="20">
        <f>'DOE25'!L207+'DOE25'!L225+'DOE25'!L243-F14-G14</f>
        <v>3978254.08</v>
      </c>
      <c r="E14" s="243"/>
      <c r="F14" s="255">
        <f>'DOE25'!J207+'DOE25'!J225+'DOE25'!J243</f>
        <v>80705.680000000008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2268790.71</v>
      </c>
      <c r="D15" s="20">
        <f>'DOE25'!L208+'DOE25'!L226+'DOE25'!L244-F15-G15</f>
        <v>2268790.71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875838.90999999992</v>
      </c>
      <c r="D16" s="243"/>
      <c r="E16" s="20">
        <f>'DOE25'!L209+'DOE25'!L227+'DOE25'!L245-F16-G16</f>
        <v>794358.21</v>
      </c>
      <c r="F16" s="255">
        <f>'DOE25'!J209+'DOE25'!J227+'DOE25'!J245</f>
        <v>79954.700000000012</v>
      </c>
      <c r="G16" s="53">
        <f>'DOE25'!K209+'DOE25'!K227+'DOE25'!K245</f>
        <v>1526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227683.69</v>
      </c>
      <c r="D17" s="20">
        <f>'DOE25'!L251-F17-G17</f>
        <v>227683.69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6589818.9100000001</v>
      </c>
      <c r="D25" s="243"/>
      <c r="E25" s="243"/>
      <c r="F25" s="258"/>
      <c r="G25" s="256"/>
      <c r="H25" s="257">
        <f>'DOE25'!L260+'DOE25'!L261+'DOE25'!L341+'DOE25'!L342</f>
        <v>6589818.9100000001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1450516.4200000002</v>
      </c>
      <c r="D29" s="20">
        <f>'DOE25'!L358+'DOE25'!L359+'DOE25'!L360-'DOE25'!I367-F29-G29</f>
        <v>1442480.9100000001</v>
      </c>
      <c r="E29" s="243"/>
      <c r="F29" s="255">
        <f>'DOE25'!J358+'DOE25'!J359+'DOE25'!J360</f>
        <v>8017.6200000000008</v>
      </c>
      <c r="G29" s="53">
        <f>'DOE25'!K358+'DOE25'!K359+'DOE25'!K360</f>
        <v>17.89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3613046.0100000002</v>
      </c>
      <c r="D31" s="20">
        <f>'DOE25'!L290+'DOE25'!L309+'DOE25'!L328+'DOE25'!L333+'DOE25'!L334+'DOE25'!L335-F31-G31</f>
        <v>3463325.14</v>
      </c>
      <c r="E31" s="243"/>
      <c r="F31" s="255">
        <f>'DOE25'!J290+'DOE25'!J309+'DOE25'!J328+'DOE25'!J333+'DOE25'!J334+'DOE25'!J335</f>
        <v>42561.97</v>
      </c>
      <c r="G31" s="53">
        <f>'DOE25'!K290+'DOE25'!K309+'DOE25'!K328+'DOE25'!K333+'DOE25'!K334+'DOE25'!K335</f>
        <v>107158.9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50755775.519999996</v>
      </c>
      <c r="E33" s="246">
        <f>SUM(E5:E31)</f>
        <v>1704381.4099999997</v>
      </c>
      <c r="F33" s="246">
        <f>SUM(F5:F31)</f>
        <v>272288.83</v>
      </c>
      <c r="G33" s="246">
        <f>SUM(G5:G31)</f>
        <v>210854.58</v>
      </c>
      <c r="H33" s="246">
        <f>SUM(H5:H31)</f>
        <v>6589818.9100000001</v>
      </c>
    </row>
    <row r="35" spans="2:8" ht="12" thickBot="1" x14ac:dyDescent="0.25">
      <c r="B35" s="253" t="s">
        <v>846</v>
      </c>
      <c r="D35" s="254">
        <f>E33</f>
        <v>1704381.4099999997</v>
      </c>
      <c r="E35" s="249"/>
    </row>
    <row r="36" spans="2:8" ht="12" thickTop="1" x14ac:dyDescent="0.2">
      <c r="B36" t="s">
        <v>814</v>
      </c>
      <c r="D36" s="20">
        <f>D33</f>
        <v>50755775.519999996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Dover 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124956.92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848204.96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149620.15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56693.86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618018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1179475.8900000001</v>
      </c>
      <c r="E18" s="41">
        <f>SUM(E8:E17)</f>
        <v>618018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669220.25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276.94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34622.199999999997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704119.3899999999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56693.86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345169.54000000004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548588.04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73493.100000000006</v>
      </c>
      <c r="E48" s="95">
        <f>'DOE25'!H49</f>
        <v>69429.960000000006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0</v>
      </c>
      <c r="D50" s="41">
        <f>SUM(D34:D49)</f>
        <v>475356.5</v>
      </c>
      <c r="E50" s="41">
        <f>SUM(E34:E49)</f>
        <v>618018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0</v>
      </c>
      <c r="D51" s="41">
        <f>D50+D31</f>
        <v>1179475.8899999999</v>
      </c>
      <c r="E51" s="41">
        <f>E50+E31</f>
        <v>618018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30985059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3930751.2299999995</v>
      </c>
      <c r="D57" s="24" t="s">
        <v>288</v>
      </c>
      <c r="E57" s="95">
        <f>'DOE25'!H79</f>
        <v>286575.54000000004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62055.19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757941.66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138075.54</v>
      </c>
      <c r="D61" s="95">
        <f>SUM('DOE25'!G98:G110)</f>
        <v>0</v>
      </c>
      <c r="E61" s="95">
        <f>SUM('DOE25'!H98:H110)</f>
        <v>195117.18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4130881.9599999995</v>
      </c>
      <c r="D62" s="130">
        <f>SUM(D57:D61)</f>
        <v>757941.66</v>
      </c>
      <c r="E62" s="130">
        <f>SUM(E57:E61)</f>
        <v>481692.72000000003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35115940.960000001</v>
      </c>
      <c r="D63" s="22">
        <f>D56+D62</f>
        <v>757941.66</v>
      </c>
      <c r="E63" s="22">
        <f>E56+E62</f>
        <v>481692.72000000003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8926329.6899999995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6844285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1389583.15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17160197.84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650873.26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322237.05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182831.01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21661.61</v>
      </c>
      <c r="E77" s="95">
        <f>SUM('DOE25'!H131:H135)</f>
        <v>170471.42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1155941.32</v>
      </c>
      <c r="D78" s="130">
        <f>SUM(D72:D77)</f>
        <v>21661.61</v>
      </c>
      <c r="E78" s="130">
        <f>SUM(E72:E77)</f>
        <v>170471.42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18316139.16</v>
      </c>
      <c r="D81" s="130">
        <f>SUM(D79:D80)+D78+D70</f>
        <v>21661.61</v>
      </c>
      <c r="E81" s="130">
        <f>SUM(E79:E80)+E78+E70</f>
        <v>170471.42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47057.760000000002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591332.78</v>
      </c>
      <c r="D88" s="95">
        <f>SUM('DOE25'!G153:G161)</f>
        <v>748703.91999999993</v>
      </c>
      <c r="E88" s="95">
        <f>SUM('DOE25'!H153:H161)</f>
        <v>2676482.83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638390.54</v>
      </c>
      <c r="D91" s="131">
        <f>SUM(D85:D90)</f>
        <v>748703.91999999993</v>
      </c>
      <c r="E91" s="131">
        <f>SUM(E85:E90)</f>
        <v>2676482.83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30582893.359999999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28818.89</v>
      </c>
      <c r="E96" s="95">
        <f>'DOE25'!H179</f>
        <v>538513</v>
      </c>
      <c r="F96" s="95">
        <f>'DOE25'!I179</f>
        <v>1427797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2692436.13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2692436.13</v>
      </c>
      <c r="D103" s="86">
        <f>SUM(D93:D102)</f>
        <v>28818.89</v>
      </c>
      <c r="E103" s="86">
        <f>SUM(E93:E102)</f>
        <v>538513</v>
      </c>
      <c r="F103" s="86">
        <f>SUM(F93:F102)</f>
        <v>32010690.359999999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56762906.790000007</v>
      </c>
      <c r="D104" s="86">
        <f>D63+D81+D91+D103</f>
        <v>1557126.0799999998</v>
      </c>
      <c r="E104" s="86">
        <f>E63+E81+E91+E103</f>
        <v>3867159.97</v>
      </c>
      <c r="F104" s="86">
        <f>F63+F81+F91+F103</f>
        <v>32010690.359999999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20745907.539999999</v>
      </c>
      <c r="D109" s="24" t="s">
        <v>288</v>
      </c>
      <c r="E109" s="95">
        <f>('DOE25'!L276)+('DOE25'!L295)+('DOE25'!L314)</f>
        <v>675278.75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9131914.6500000004</v>
      </c>
      <c r="D110" s="24" t="s">
        <v>288</v>
      </c>
      <c r="E110" s="95">
        <f>('DOE25'!L277)+('DOE25'!L296)+('DOE25'!L315)</f>
        <v>1393100.3599999999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1733741.6300000001</v>
      </c>
      <c r="D111" s="24" t="s">
        <v>288</v>
      </c>
      <c r="E111" s="95">
        <f>('DOE25'!L278)+('DOE25'!L297)+('DOE25'!L316)</f>
        <v>85088.88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581008.0199999999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225017.18000000002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227683.69</v>
      </c>
      <c r="D114" s="24" t="s">
        <v>288</v>
      </c>
      <c r="E114" s="95">
        <f>+ SUM('DOE25'!L333:L335)</f>
        <v>859168.69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32420255.529999997</v>
      </c>
      <c r="D115" s="86">
        <f>SUM(D109:D114)</f>
        <v>0</v>
      </c>
      <c r="E115" s="86">
        <f>SUM(E109:E114)</f>
        <v>3237653.86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3410230.68</v>
      </c>
      <c r="D118" s="24" t="s">
        <v>288</v>
      </c>
      <c r="E118" s="95">
        <f>+('DOE25'!L281)+('DOE25'!L300)+('DOE25'!L319)</f>
        <v>145871.57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864704.87000000011</v>
      </c>
      <c r="D119" s="24" t="s">
        <v>288</v>
      </c>
      <c r="E119" s="95">
        <f>+('DOE25'!L282)+('DOE25'!L301)+('DOE25'!L320)</f>
        <v>310485.21999999997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1341858.3399999999</v>
      </c>
      <c r="D120" s="24" t="s">
        <v>288</v>
      </c>
      <c r="E120" s="95">
        <f>+('DOE25'!L283)+('DOE25'!L302)+('DOE25'!L321)</f>
        <v>23541.21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2617454.1100000003</v>
      </c>
      <c r="D121" s="24" t="s">
        <v>288</v>
      </c>
      <c r="E121" s="95">
        <f>+('DOE25'!L284)+('DOE25'!L303)+('DOE25'!L322)</f>
        <v>30687.880000000005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4058959.7600000002</v>
      </c>
      <c r="D123" s="24" t="s">
        <v>288</v>
      </c>
      <c r="E123" s="95">
        <f>+('DOE25'!L286)+('DOE25'!L305)+('DOE25'!L324)</f>
        <v>9414.5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2268790.71</v>
      </c>
      <c r="D124" s="24" t="s">
        <v>288</v>
      </c>
      <c r="E124" s="95">
        <f>+('DOE25'!L287)+('DOE25'!L306)+('DOE25'!L325)</f>
        <v>7220.8099999999995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875838.90999999992</v>
      </c>
      <c r="D125" s="24" t="s">
        <v>288</v>
      </c>
      <c r="E125" s="95">
        <f>+('DOE25'!L288)+('DOE25'!L307)+('DOE25'!L326)</f>
        <v>73188.14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1538959.61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15437837.380000003</v>
      </c>
      <c r="D128" s="86">
        <f>SUM(D118:D127)</f>
        <v>1538959.61</v>
      </c>
      <c r="E128" s="86">
        <f>SUM(E118:E127)</f>
        <v>600409.33000000007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30582893.359999999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2046065.36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4543753.55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28818.89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538513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1427797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8584947.8000000007</v>
      </c>
      <c r="D144" s="141">
        <f>SUM(D130:D143)</f>
        <v>0</v>
      </c>
      <c r="E144" s="141">
        <f>SUM(E130:E143)</f>
        <v>0</v>
      </c>
      <c r="F144" s="141">
        <f>SUM(F130:F143)</f>
        <v>30582893.359999999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56443040.709999993</v>
      </c>
      <c r="D145" s="86">
        <f>(D115+D128+D144)</f>
        <v>1538959.61</v>
      </c>
      <c r="E145" s="86">
        <f>(E115+E128+E144)</f>
        <v>3838063.19</v>
      </c>
      <c r="F145" s="86">
        <f>(F115+F128+F144)</f>
        <v>30582893.359999999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90488021.349999994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90488021.349999994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2046065.36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2046065.36</v>
      </c>
    </row>
    <row r="159" spans="1:9" x14ac:dyDescent="0.2">
      <c r="A159" s="22" t="s">
        <v>35</v>
      </c>
      <c r="B159" s="137">
        <f>'DOE25'!F498</f>
        <v>88441955.989999995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88441955.989999995</v>
      </c>
    </row>
    <row r="160" spans="1:9" x14ac:dyDescent="0.2">
      <c r="A160" s="22" t="s">
        <v>36</v>
      </c>
      <c r="B160" s="137">
        <f>'DOE25'!F499</f>
        <v>45700901.600000001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45700901.600000001</v>
      </c>
    </row>
    <row r="161" spans="1:7" x14ac:dyDescent="0.2">
      <c r="A161" s="22" t="s">
        <v>37</v>
      </c>
      <c r="B161" s="137">
        <f>'DOE25'!F500</f>
        <v>134142857.59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134142857.59</v>
      </c>
    </row>
    <row r="162" spans="1:7" x14ac:dyDescent="0.2">
      <c r="A162" s="22" t="s">
        <v>38</v>
      </c>
      <c r="B162" s="137">
        <f>'DOE25'!F501</f>
        <v>2007771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2007771</v>
      </c>
    </row>
    <row r="163" spans="1:7" x14ac:dyDescent="0.2">
      <c r="A163" s="22" t="s">
        <v>39</v>
      </c>
      <c r="B163" s="137">
        <f>'DOE25'!F502</f>
        <v>3970916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3970916</v>
      </c>
    </row>
    <row r="164" spans="1:7" x14ac:dyDescent="0.2">
      <c r="A164" s="22" t="s">
        <v>246</v>
      </c>
      <c r="B164" s="137">
        <f>'DOE25'!F503</f>
        <v>5978687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5978687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 xml:space="preserve">Dover 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12347</v>
      </c>
    </row>
    <row r="5" spans="1:4" x14ac:dyDescent="0.2">
      <c r="B5" t="s">
        <v>703</v>
      </c>
      <c r="C5" s="179">
        <f>IF('DOE25'!G665+'DOE25'!G670=0,0,ROUND('DOE25'!G672,0))</f>
        <v>10367</v>
      </c>
    </row>
    <row r="6" spans="1:4" x14ac:dyDescent="0.2">
      <c r="B6" t="s">
        <v>62</v>
      </c>
      <c r="C6" s="179">
        <f>IF('DOE25'!H665+'DOE25'!H670=0,0,ROUND('DOE25'!H672,0))</f>
        <v>12536</v>
      </c>
    </row>
    <row r="7" spans="1:4" x14ac:dyDescent="0.2">
      <c r="B7" t="s">
        <v>704</v>
      </c>
      <c r="C7" s="179">
        <f>IF('DOE25'!I665+'DOE25'!I670=0,0,ROUND('DOE25'!I672,0))</f>
        <v>11817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21421186</v>
      </c>
      <c r="D10" s="182">
        <f>ROUND((C10/$C$28)*100,1)</f>
        <v>37.6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10525015</v>
      </c>
      <c r="D11" s="182">
        <f>ROUND((C11/$C$28)*100,1)</f>
        <v>18.5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1818831</v>
      </c>
      <c r="D12" s="182">
        <f>ROUND((C12/$C$28)*100,1)</f>
        <v>3.2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581008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3556102</v>
      </c>
      <c r="D15" s="182">
        <f t="shared" ref="D15:D27" si="0">ROUND((C15/$C$28)*100,1)</f>
        <v>6.2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1175190</v>
      </c>
      <c r="D16" s="182">
        <f t="shared" si="0"/>
        <v>2.1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2314427</v>
      </c>
      <c r="D17" s="182">
        <f t="shared" si="0"/>
        <v>4.0999999999999996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2648142</v>
      </c>
      <c r="D18" s="182">
        <f t="shared" si="0"/>
        <v>4.5999999999999996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4068374</v>
      </c>
      <c r="D20" s="182">
        <f t="shared" si="0"/>
        <v>7.1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2276012</v>
      </c>
      <c r="D21" s="182">
        <f t="shared" si="0"/>
        <v>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225017</v>
      </c>
      <c r="D23" s="182">
        <f t="shared" si="0"/>
        <v>0.4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1086852</v>
      </c>
      <c r="D24" s="182">
        <f t="shared" si="0"/>
        <v>1.9</v>
      </c>
    </row>
    <row r="25" spans="1:4" x14ac:dyDescent="0.2">
      <c r="A25">
        <v>5120</v>
      </c>
      <c r="B25" t="s">
        <v>719</v>
      </c>
      <c r="C25" s="179">
        <f>ROUND('DOE25'!L261+'DOE25'!L342,0)</f>
        <v>4543754</v>
      </c>
      <c r="D25" s="182">
        <f t="shared" si="0"/>
        <v>8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781018.34</v>
      </c>
      <c r="D27" s="182">
        <f t="shared" si="0"/>
        <v>1.4</v>
      </c>
    </row>
    <row r="28" spans="1:4" x14ac:dyDescent="0.2">
      <c r="B28" s="187" t="s">
        <v>722</v>
      </c>
      <c r="C28" s="180">
        <f>SUM(C10:C27)</f>
        <v>57020928.340000004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30582893</v>
      </c>
    </row>
    <row r="30" spans="1:4" x14ac:dyDescent="0.2">
      <c r="B30" s="187" t="s">
        <v>728</v>
      </c>
      <c r="C30" s="180">
        <f>SUM(C28:C29)</f>
        <v>87603821.340000004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2046065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30985059</v>
      </c>
      <c r="D35" s="182">
        <f t="shared" ref="D35:D40" si="1">ROUND((C35/$C$41)*100,1)</f>
        <v>53.3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4612574.6799999923</v>
      </c>
      <c r="D36" s="182">
        <f t="shared" si="1"/>
        <v>7.9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15770615</v>
      </c>
      <c r="D37" s="182">
        <f t="shared" si="1"/>
        <v>27.1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2737658</v>
      </c>
      <c r="D38" s="182">
        <f t="shared" si="1"/>
        <v>4.7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4063577</v>
      </c>
      <c r="D39" s="182">
        <f t="shared" si="1"/>
        <v>7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58169483.679999992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30582893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 xml:space="preserve">Dover 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2017-06-15T14:49:11Z</cp:lastPrinted>
  <dcterms:created xsi:type="dcterms:W3CDTF">1997-12-04T19:04:30Z</dcterms:created>
  <dcterms:modified xsi:type="dcterms:W3CDTF">2018-03-23T13:03:41Z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