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E8" i="13" s="1"/>
  <c r="C8" i="13" s="1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E33" i="13" s="1"/>
  <c r="D35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D12" i="13" s="1"/>
  <c r="C12" i="13" s="1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C13" i="10" s="1"/>
  <c r="L281" i="1"/>
  <c r="L282" i="1"/>
  <c r="C16" i="10" s="1"/>
  <c r="L283" i="1"/>
  <c r="L284" i="1"/>
  <c r="C18" i="10" s="1"/>
  <c r="L285" i="1"/>
  <c r="L286" i="1"/>
  <c r="C20" i="10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5" i="10"/>
  <c r="C17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E62" i="2" s="1"/>
  <c r="E63" i="2" s="1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C70" i="2" s="1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F81" i="2" s="1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D81" i="2" s="1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E115" i="2" s="1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H639" i="1" s="1"/>
  <c r="J639" i="1" s="1"/>
  <c r="G461" i="1"/>
  <c r="H461" i="1"/>
  <c r="H641" i="1" s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0" i="1"/>
  <c r="H640" i="1"/>
  <c r="G641" i="1"/>
  <c r="J641" i="1" s="1"/>
  <c r="G642" i="1"/>
  <c r="H642" i="1"/>
  <c r="G643" i="1"/>
  <c r="J643" i="1" s="1"/>
  <c r="H643" i="1"/>
  <c r="G644" i="1"/>
  <c r="H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C26" i="10"/>
  <c r="L328" i="1"/>
  <c r="H660" i="1" s="1"/>
  <c r="H664" i="1" s="1"/>
  <c r="L351" i="1"/>
  <c r="I662" i="1"/>
  <c r="L290" i="1"/>
  <c r="F660" i="1" s="1"/>
  <c r="A31" i="12"/>
  <c r="A40" i="12"/>
  <c r="D62" i="2"/>
  <c r="D63" i="2" s="1"/>
  <c r="D18" i="13"/>
  <c r="C18" i="13" s="1"/>
  <c r="D15" i="13"/>
  <c r="C15" i="13" s="1"/>
  <c r="D18" i="2"/>
  <c r="D6" i="13"/>
  <c r="C6" i="13" s="1"/>
  <c r="C91" i="2"/>
  <c r="C128" i="2"/>
  <c r="C78" i="2"/>
  <c r="D50" i="2"/>
  <c r="F18" i="2"/>
  <c r="G161" i="2"/>
  <c r="E103" i="2"/>
  <c r="D91" i="2"/>
  <c r="G62" i="2"/>
  <c r="D29" i="13"/>
  <c r="C29" i="13" s="1"/>
  <c r="D19" i="13"/>
  <c r="C19" i="13" s="1"/>
  <c r="D14" i="13"/>
  <c r="C14" i="13" s="1"/>
  <c r="E13" i="13"/>
  <c r="C13" i="13" s="1"/>
  <c r="J617" i="1"/>
  <c r="L427" i="1"/>
  <c r="J257" i="1"/>
  <c r="J271" i="1" s="1"/>
  <c r="H112" i="1"/>
  <c r="F112" i="1"/>
  <c r="J571" i="1"/>
  <c r="K571" i="1"/>
  <c r="L433" i="1"/>
  <c r="L419" i="1"/>
  <c r="I169" i="1"/>
  <c r="H169" i="1"/>
  <c r="G552" i="1"/>
  <c r="J644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C22" i="13" s="1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J655" i="1"/>
  <c r="L570" i="1"/>
  <c r="I571" i="1"/>
  <c r="I545" i="1"/>
  <c r="J636" i="1"/>
  <c r="G36" i="2"/>
  <c r="L565" i="1"/>
  <c r="G545" i="1"/>
  <c r="L545" i="1"/>
  <c r="H545" i="1"/>
  <c r="K551" i="1"/>
  <c r="K552" i="1" s="1"/>
  <c r="C138" i="2"/>
  <c r="H33" i="13"/>
  <c r="G81" i="2" l="1"/>
  <c r="C16" i="13"/>
  <c r="C81" i="2"/>
  <c r="D145" i="2"/>
  <c r="L362" i="1"/>
  <c r="F66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I663" i="1"/>
  <c r="C27" i="10"/>
  <c r="C28" i="10" s="1"/>
  <c r="G635" i="1"/>
  <c r="J635" i="1" s="1"/>
  <c r="C51" i="2" l="1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<sst xmlns="http://schemas.openxmlformats.org/spreadsheetml/2006/main" count="3955" uniqueCount="913">
  <si>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</si>
  <si>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</si>
  <si>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</si>
  <si>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</si>
  <si>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</si>
  <si>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</si>
  <si>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</si>
  <si>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</si>
  <si>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</si>
  <si>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</si>
  <si>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</si>
  <si>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</si>
  <si>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</si>
  <si>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</si>
  <si>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</si>
  <si>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</si>
  <si>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</si>
  <si>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</si>
  <si>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</si>
  <si>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</si>
  <si>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</si>
  <si>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</si>
  <si>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</si>
  <si>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</si>
  <si>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</si>
  <si>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</si>
  <si>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</si>
  <si>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</si>
  <si>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</si>
  <si>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</si>
  <si>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</si>
  <si>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</si>
  <si>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</si>
  <si>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</si>
  <si>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</si>
  <si>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</si>
  <si>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</si>
  <si>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</si>
  <si>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</si>
  <si>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</si>
  <si>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</si>
  <si>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</si>
  <si>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</si>
  <si>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</si>
  <si>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</si>
  <si>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</si>
  <si>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</si>
  <si>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</si>
  <si>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</si>
  <si>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</si>
  <si>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</si>
  <si>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</si>
  <si>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</si>
  <si>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</si>
  <si>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</si>
  <si>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</si>
  <si>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</si>
  <si>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</si>
  <si>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</si>
  <si>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</si>
  <si>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</si>
  <si>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</si>
  <si>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</si>
  <si>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</si>
  <si>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</si>
  <si>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</si>
  <si>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</si>
  <si>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</si>
  <si>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</si>
  <si>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</si>
  <si>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</si>
  <si>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</si>
  <si>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</si>
  <si>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</si>
  <si>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</si>
  <si>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</si>
  <si>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</si>
  <si>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</si>
  <si>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</si>
  <si>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</si>
  <si>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</si>
  <si>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</si>
  <si>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</si>
  <si>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</si>
  <si>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</si>
  <si>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</si>
  <si>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</si>
  <si>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</si>
  <si>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</si>
  <si>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</si>
  <si>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</si>
  <si>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</si>
  <si>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</si>
  <si>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</si>
  <si>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</si>
  <si>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</si>
  <si>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</si>
  <si>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</si>
  <si>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</si>
  <si>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</si>
  <si>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</si>
  <si>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</si>
  <si>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</si>
  <si>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</si>
  <si>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</si>
  <si>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</si>
  <si>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</si>
  <si>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</si>
  <si>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</si>
  <si>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</si>
  <si>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</si>
  <si>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</si>
  <si>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</si>
  <si>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</si>
  <si>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</si>
  <si>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</si>
  <si>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</si>
  <si>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</si>
  <si>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</si>
  <si>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</si>
  <si>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</si>
  <si>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</si>
  <si>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</si>
  <si>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</si>
  <si>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</si>
  <si>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</si>
  <si>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</si>
  <si>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</si>
  <si>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</si>
  <si>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</si>
  <si>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</si>
  <si>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</si>
  <si>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</si>
  <si>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</si>
  <si>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</si>
  <si>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</si>
  <si>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</si>
  <si>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</si>
  <si>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</si>
  <si>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</si>
  <si>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</si>
  <si>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</si>
  <si>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</si>
  <si>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</si>
  <si>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</si>
  <si>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</si>
  <si>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</si>
  <si>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</si>
  <si>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</si>
  <si>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</si>
  <si>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</si>
  <si>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</si>
  <si>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</si>
  <si>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</si>
  <si>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</si>
  <si>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</si>
  <si>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</si>
  <si>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</si>
  <si>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</si>
  <si>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</si>
  <si>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</si>
  <si>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</si>
  <si>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</si>
  <si>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</si>
  <si>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</si>
  <si>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</si>
  <si>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</si>
  <si>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</si>
  <si>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</si>
  <si>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</si>
  <si>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</si>
  <si>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</si>
  <si>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</si>
  <si>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</si>
  <si>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</si>
  <si>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</si>
  <si>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</si>
  <si>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</si>
  <si>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</si>
  <si>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</si>
  <si>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</si>
  <si>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</si>
  <si>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</si>
  <si>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</si>
  <si>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</si>
  <si>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</si>
  <si>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</si>
  <si>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</si>
  <si>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</si>
  <si>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</si>
  <si>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</si>
  <si>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</si>
  <si>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</si>
  <si>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</si>
  <si>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</si>
  <si>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</si>
  <si>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</si>
  <si>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</si>
  <si>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</si>
  <si>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</si>
  <si>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</si>
  <si>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</si>
  <si>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</si>
  <si>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</si>
  <si>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</si>
  <si>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</si>
  <si>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</si>
  <si>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</si>
  <si>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</si>
  <si>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</si>
  <si>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</si>
  <si>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</si>
  <si>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</si>
  <si>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</si>
  <si>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</si>
  <si>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</si>
  <si>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</si>
  <si>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</si>
  <si>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</si>
  <si>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</si>
  <si>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</si>
  <si>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</si>
  <si>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</si>
  <si>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</si>
  <si>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</si>
  <si>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</si>
  <si>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</si>
  <si>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</si>
  <si>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</si>
  <si>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</si>
  <si>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</si>
  <si>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</si>
  <si>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</si>
  <si>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</si>
  <si>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</si>
  <si>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</si>
  <si>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</si>
  <si>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</si>
  <si>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</si>
  <si>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</si>
  <si>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</si>
  <si>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</si>
  <si>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</si>
  <si>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</si>
  <si>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</si>
  <si>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</si>
  <si>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</si>
  <si>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</si>
  <si>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</si>
  <si>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</si>
  <si>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</si>
  <si>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</si>
  <si>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</si>
  <si>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</si>
  <si>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</si>
  <si>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</si>
  <si>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</si>
  <si>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</si>
  <si>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</si>
  <si>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</si>
  <si>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</si>
  <si>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</si>
  <si>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</si>
  <si>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</si>
  <si>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</si>
  <si>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</si>
  <si>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</si>
  <si>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</si>
  <si>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</si>
  <si>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</si>
  <si>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</si>
  <si>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</si>
  <si>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</si>
  <si>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</si>
  <si>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</si>
  <si>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</si>
  <si>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</si>
  <si>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</si>
  <si>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</si>
  <si>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</si>
  <si>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</si>
  <si>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</si>
  <si>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</si>
  <si>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</si>
  <si>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</si>
  <si>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</si>
  <si>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</si>
  <si>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</si>
  <si>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</si>
  <si>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</si>
  <si>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</si>
  <si>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</si>
  <si>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</si>
  <si>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</si>
  <si>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</si>
  <si>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</si>
  <si>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</si>
  <si>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</si>
  <si>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</si>
  <si>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</si>
  <si>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</si>
  <si>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</si>
  <si>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</si>
  <si>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</si>
  <si>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</si>
  <si>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</si>
  <si>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</si>
  <si>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</si>
  <si>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</si>
  <si>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</si>
  <si>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</si>
  <si>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</si>
  <si>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</si>
  <si>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</si>
  <si>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</si>
  <si>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</si>
  <si>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</si>
  <si>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</si>
  <si>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</si>
  <si>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</si>
  <si>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</si>
  <si>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</si>
  <si>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</si>
  <si>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</si>
  <si>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</si>
  <si>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</si>
  <si>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</si>
  <si>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</si>
  <si>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</si>
  <si>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</si>
  <si>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</si>
  <si>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</si>
  <si>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</si>
  <si>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</si>
  <si>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</si>
  <si>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</si>
  <si>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</si>
  <si>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</si>
  <si>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</si>
  <si>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</si>
  <si>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</si>
  <si>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</si>
  <si>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</si>
  <si>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</si>
  <si>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</si>
  <si>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</si>
  <si>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</si>
  <si>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</si>
  <si>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</si>
  <si>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</si>
  <si>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</si>
  <si>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</si>
  <si>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</si>
  <si>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</si>
  <si>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</si>
  <si>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</si>
  <si>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</si>
  <si>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</si>
  <si>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</si>
  <si>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</si>
  <si>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</si>
  <si>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</si>
  <si>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</si>
  <si>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</si>
  <si>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</si>
  <si>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</si>
  <si>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</si>
  <si>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</si>
  <si>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</si>
  <si>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</si>
  <si>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</si>
  <si>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</si>
  <si>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</si>
  <si>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</si>
  <si>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</si>
  <si>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</si>
  <si>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</si>
  <si>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</si>
  <si>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</si>
  <si>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</si>
  <si>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</si>
  <si>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</si>
  <si>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</si>
  <si>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</si>
  <si>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</si>
  <si>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</si>
  <si>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</si>
  <si>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</si>
  <si>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</si>
  <si>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</si>
  <si>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</si>
  <si>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</si>
  <si>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</si>
  <si>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</si>
  <si>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</si>
  <si>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</si>
  <si>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</si>
  <si>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</si>
  <si>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</si>
  <si>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</si>
  <si>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</si>
  <si>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</si>
  <si>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</si>
  <si>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</si>
  <si>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</si>
  <si>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</si>
  <si>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</si>
  <si>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</si>
  <si>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</si>
  <si>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</si>
  <si>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</si>
  <si>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</si>
  <si>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</si>
  <si>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</si>
  <si>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</si>
  <si>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</si>
  <si>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</si>
  <si>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</si>
  <si>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</si>
  <si>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</si>
  <si>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</si>
  <si>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</si>
  <si>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</si>
  <si>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</si>
  <si>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</si>
  <si>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</si>
  <si>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</si>
  <si>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</si>
  <si>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</si>
  <si>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</si>
  <si>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</si>
  <si>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</si>
  <si>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</si>
  <si>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</si>
  <si>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</si>
  <si>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</si>
  <si>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</si>
  <si>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</si>
  <si>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</si>
  <si>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</si>
  <si>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</si>
  <si>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</si>
  <si>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</si>
  <si>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</si>
  <si>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</si>
  <si>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</si>
  <si>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</si>
  <si>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</si>
  <si>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</si>
  <si>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</si>
  <si>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</si>
  <si>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</si>
  <si>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</si>
  <si>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</si>
  <si>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</si>
  <si>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</si>
  <si>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</si>
  <si>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</si>
  <si>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</si>
  <si>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</si>
  <si>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</si>
  <si>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</si>
  <si>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</si>
  <si>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</si>
  <si>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</si>
  <si>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</si>
  <si>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</si>
  <si>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</si>
  <si>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</si>
  <si>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</si>
  <si>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</si>
  <si>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</si>
  <si>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</si>
  <si>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</si>
  <si>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</si>
  <si>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</si>
  <si>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</si>
  <si>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</si>
  <si>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</si>
  <si>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</si>
  <si>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</si>
  <si>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</si>
  <si>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</si>
  <si>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</si>
  <si>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</si>
  <si>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</si>
  <si>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</si>
  <si>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</si>
  <si>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</si>
  <si>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</si>
  <si>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</si>
  <si>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</si>
  <si>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</si>
  <si>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</si>
  <si>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</si>
  <si>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</si>
  <si>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</si>
  <si>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</si>
  <si>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</si>
  <si>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</si>
  <si>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</si>
  <si>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</si>
  <si>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</si>
  <si>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</si>
  <si>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</si>
  <si>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</si>
  <si>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</si>
  <si>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</si>
  <si>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</si>
  <si>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</si>
  <si>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</si>
  <si>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</si>
  <si>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</si>
  <si>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</si>
  <si>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</si>
  <si>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</si>
  <si>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</si>
  <si>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</si>
  <si>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</si>
  <si>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</si>
  <si>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</si>
  <si>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</si>
  <si>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</si>
  <si>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</si>
  <si>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</si>
  <si>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</si>
  <si>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</si>
  <si>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</si>
  <si>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</si>
  <si>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</si>
  <si>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</si>
  <si>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</si>
  <si>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</si>
  <si>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</si>
  <si>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</si>
  <si>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</si>
  <si>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</si>
  <si>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</si>
  <si>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</si>
  <si>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</si>
  <si>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</si>
  <si>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</si>
  <si>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</si>
  <si>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</si>
  <si>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</si>
  <si>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</si>
  <si>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</si>
  <si>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</si>
  <si>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</si>
  <si>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</si>
  <si>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</si>
  <si>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</si>
  <si>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</si>
  <si>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</si>
  <si>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</si>
  <si>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</si>
  <si>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</si>
  <si>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</si>
  <si>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</si>
  <si>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</si>
  <si>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</si>
  <si>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</si>
  <si>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</si>
  <si>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</si>
  <si>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</si>
  <si>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</si>
  <si>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</si>
  <si>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</si>
  <si>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</si>
  <si>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</si>
  <si>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</si>
  <si>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</si>
  <si>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</si>
  <si>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</si>
  <si>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</si>
  <si>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</si>
  <si>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</si>
  <si>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</si>
  <si>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</si>
  <si>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</si>
  <si>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</si>
  <si>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</si>
  <si>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</si>
  <si>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</si>
  <si>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</si>
  <si>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</si>
  <si>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</si>
  <si>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</si>
  <si>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</si>
  <si>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</si>
  <si>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</si>
  <si>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</si>
  <si>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</si>
  <si>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</si>
  <si>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</si>
  <si>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</si>
  <si>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</si>
  <si>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</si>
  <si>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</si>
  <si>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</si>
  <si>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</si>
  <si>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</si>
  <si>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</si>
  <si>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</si>
  <si>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</si>
  <si>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</si>
  <si>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</si>
  <si>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</si>
  <si>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</si>
  <si>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</si>
  <si>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</si>
  <si>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</si>
  <si>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</si>
  <si>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</si>
  <si>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</si>
  <si>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</si>
  <si>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</si>
  <si>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</si>
  <si>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</si>
  <si>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</si>
  <si>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</si>
  <si>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</si>
  <si>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</si>
  <si>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</si>
  <si>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</si>
  <si>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</si>
  <si>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</si>
  <si>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</si>
  <si>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</si>
  <si>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</si>
  <si>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</si>
  <si>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</si>
  <si>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</si>
  <si>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</si>
  <si>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</si>
  <si>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</si>
  <si>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</si>
  <si>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</si>
  <si>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</si>
  <si>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</si>
  <si>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</si>
  <si>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</si>
  <si>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</si>
  <si>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</si>
  <si>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</si>
  <si>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</si>
  <si>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</si>
  <si>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</si>
  <si>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</si>
  <si>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</si>
  <si>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</si>
  <si>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</si>
  <si>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</si>
  <si>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</si>
  <si>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</si>
  <si>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</si>
  <si>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</si>
  <si>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</si>
  <si>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</si>
  <si>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</si>
  <si>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</si>
  <si>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</si>
  <si>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</si>
  <si>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</si>
  <si>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</si>
  <si>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</si>
  <si>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</si>
  <si>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</si>
  <si>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</si>
  <si>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</si>
  <si>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</si>
  <si>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</si>
  <si>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</si>
  <si>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</si>
  <si>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</si>
  <si>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</si>
  <si>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</si>
  <si>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</si>
  <si>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</si>
  <si>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</si>
  <si>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</si>
  <si>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</si>
  <si>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</si>
  <si>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</si>
  <si>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</si>
  <si>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</si>
  <si>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</si>
  <si>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</si>
  <si>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</si>
  <si>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</si>
  <si>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</si>
  <si>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</si>
  <si>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</si>
  <si>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</si>
  <si>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</si>
  <si>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</si>
  <si>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</si>
  <si>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</si>
  <si>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</si>
  <si>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</si>
  <si>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</si>
  <si>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</si>
  <si>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</si>
  <si>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</si>
  <si>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</si>
  <si>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</si>
  <si>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</si>
  <si>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</si>
  <si>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</si>
  <si>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</si>
  <si>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</si>
  <si>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</si>
  <si>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</si>
  <si>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</si>
  <si>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</si>
  <si>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</si>
  <si>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</si>
  <si>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</si>
  <si>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</si>
  <si>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</si>
  <si>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</si>
  <si>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</si>
  <si>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</si>
  <si>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</si>
  <si>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</si>
  <si>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</si>
  <si>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</si>
  <si>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</si>
  <si>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</si>
  <si>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</si>
  <si>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</si>
  <si>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</si>
  <si>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</si>
  <si>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</si>
  <si>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</si>
  <si>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</si>
  <si>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</si>
  <si>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</si>
  <si>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</si>
  <si>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</si>
  <si>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</si>
  <si>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</si>
  <si>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</si>
  <si>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</si>
  <si>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</si>
  <si>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</si>
  <si>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</si>
  <si>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</si>
  <si>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</si>
  <si>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</si>
  <si>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</si>
  <si>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</si>
  <si>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</si>
  <si>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</si>
  <si>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</si>
  <si>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</si>
  <si>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</si>
  <si>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</si>
  <si>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</si>
  <si>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</si>
  <si>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</si>
  <si>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</si>
  <si>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</si>
  <si>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</si>
  <si>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</si>
  <si>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</si>
  <si>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</si>
  <si>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</si>
  <si>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</si>
  <si>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</si>
  <si>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</si>
  <si>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</si>
  <si>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</si>
  <si>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</si>
  <si>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</si>
  <si>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</si>
  <si>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</si>
  <si>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</si>
  <si>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</si>
  <si>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</si>
  <si>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</si>
  <si>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</si>
  <si>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</si>
  <si>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</si>
  <si>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</si>
  <si>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</si>
  <si>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</si>
  <si>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</si>
  <si>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</si>
  <si>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</si>
  <si>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</si>
  <si>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</si>
  <si>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</si>
  <si>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</si>
  <si>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</si>
  <si>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</si>
  <si>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</si>
  <si>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</si>
  <si>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</si>
  <si>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</si>
  <si>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</si>
  <si>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</si>
  <si>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</si>
  <si>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</si>
  <si>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</si>
  <si>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</si>
  <si>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</si>
  <si>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</si>
  <si>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</si>
  <si>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</si>
  <si>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</si>
  <si>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</si>
  <si>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</si>
  <si>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</si>
  <si>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</si>
  <si>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</si>
  <si>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</si>
  <si>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</si>
  <si>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</si>
  <si>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</si>
  <si>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</si>
  <si>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</si>
  <si>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</si>
  <si>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</si>
  <si>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</si>
  <si>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</si>
  <si>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</si>
  <si>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</si>
  <si>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</si>
  <si>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</si>
  <si>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</si>
  <si>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</si>
  <si>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</si>
  <si>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</si>
  <si>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</si>
  <si>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</si>
  <si>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</si>
  <si>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</si>
  <si>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</si>
  <si>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</si>
  <si>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</si>
  <si>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</si>
  <si>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</si>
  <si>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</si>
  <si>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</si>
  <si>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</si>
  <si>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</si>
  <si>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</si>
  <si>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</si>
  <si>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</si>
  <si>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</si>
  <si>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</si>
  <si>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</si>
  <si>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</si>
  <si>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</si>
  <si>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</si>
  <si>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</si>
  <si>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</si>
  <si>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</si>
  <si>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</si>
  <si>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</si>
  <si>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</si>
  <si>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</si>
  <si>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</si>
  <si>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</si>
  <si>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</si>
  <si>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</si>
  <si>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</si>
  <si>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</si>
  <si>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</si>
  <si>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</si>
  <si>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</si>
  <si>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</si>
  <si>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</si>
  <si>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</si>
  <si>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</si>
  <si>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</si>
  <si>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</si>
  <si>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</si>
  <si>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</si>
  <si>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</si>
  <si>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</si>
  <si>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</si>
  <si>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</si>
  <si>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</si>
  <si>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</si>
  <si>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</si>
  <si>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</si>
  <si>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</si>
  <si>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</si>
  <si>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</si>
  <si>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</si>
  <si>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</si>
  <si>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</si>
  <si>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</si>
  <si>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</si>
  <si>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</si>
  <si>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</si>
  <si>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</si>
  <si>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</si>
  <si>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</si>
  <si>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</si>
  <si>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</si>
  <si>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</si>
  <si>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</si>
  <si>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</si>
  <si>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</si>
  <si>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</si>
  <si>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</si>
  <si>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</si>
  <si>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</si>
  <si>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</si>
  <si>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Dresden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</si>
</sst>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142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36165.139999999985</v>
      </c>
      <c r="G9" s="18"/>
      <c r="H9" s="18"/>
      <c r="I9" s="18"/>
      <c r="J9" s="67">
        <f>SUM(I439)</f>
        <v>88422.57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751242.77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2591.6400000000003</v>
      </c>
      <c r="G13" s="18"/>
      <c r="H13" s="18">
        <v>32787.69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36273.789999999994</v>
      </c>
      <c r="G14" s="18">
        <v>6111.93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11940.28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838213.62000000011</v>
      </c>
      <c r="G19" s="41">
        <f>SUM(G9:G18)</f>
        <v>6111.93</v>
      </c>
      <c r="H19" s="41">
        <f>SUM(H9:H18)</f>
        <v>32787.69</v>
      </c>
      <c r="I19" s="41">
        <f>SUM(I9:I18)</f>
        <v>0</v>
      </c>
      <c r="J19" s="41">
        <f>SUM(J9:J18)</f>
        <v>88422.57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-33107.15</v>
      </c>
      <c r="G22" s="18">
        <v>-27913.949999999997</v>
      </c>
      <c r="H22" s="18">
        <v>-62066.12</v>
      </c>
      <c r="I22" s="18">
        <v>-14410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26092.57</v>
      </c>
      <c r="G24" s="18">
        <v>104.34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49958.2</v>
      </c>
      <c r="G28" s="18">
        <v>543.96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3287.75</v>
      </c>
      <c r="G31" s="18">
        <v>9106.5299999999988</v>
      </c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46231.369999999995</v>
      </c>
      <c r="G32" s="41">
        <f>SUM(G22:G31)</f>
        <v>-18159.12</v>
      </c>
      <c r="H32" s="41">
        <f>SUM(H22:H31)</f>
        <v>-62066.12</v>
      </c>
      <c r="I32" s="41">
        <f>SUM(I22:I31)</f>
        <v>-14410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11940.28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29528.959999999999</v>
      </c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v>94853.81</v>
      </c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331272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>
        <v>14410</v>
      </c>
      <c r="J48" s="13">
        <f>SUM(I459)</f>
        <v>88422.57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>
        <v>24271.05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419241.01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791982.25</v>
      </c>
      <c r="G51" s="41">
        <f>SUM(G35:G50)</f>
        <v>24271.05</v>
      </c>
      <c r="H51" s="41">
        <f>SUM(H35:H50)</f>
        <v>94853.81</v>
      </c>
      <c r="I51" s="41">
        <f>SUM(I35:I50)</f>
        <v>14410</v>
      </c>
      <c r="J51" s="41">
        <f>SUM(J35:J50)</f>
        <v>88422.57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838213.62</v>
      </c>
      <c r="G52" s="41">
        <f>G51+G32</f>
        <v>6111.93</v>
      </c>
      <c r="H52" s="41">
        <f>H51+H32</f>
        <v>32787.689999999995</v>
      </c>
      <c r="I52" s="41">
        <f>I51+I32</f>
        <v>0</v>
      </c>
      <c r="J52" s="41">
        <f>J51+J32</f>
        <v>88422.57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16982792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16982792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150132.34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3123791.5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1283844.32</v>
      </c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113032.04</v>
      </c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4670800.2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11434.9</v>
      </c>
      <c r="G96" s="18"/>
      <c r="H96" s="18"/>
      <c r="I96" s="18"/>
      <c r="J96" s="18">
        <v>3138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462113.72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113825</v>
      </c>
      <c r="G98" s="24" t="s">
        <v>288</v>
      </c>
      <c r="H98" s="18">
        <v>285275.75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34614.1</v>
      </c>
      <c r="G101" s="18">
        <v>7399.71</v>
      </c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100000</v>
      </c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7960.71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52572.58</v>
      </c>
      <c r="G110" s="18">
        <v>347.25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320407.29000000004</v>
      </c>
      <c r="G111" s="41">
        <f>SUM(G96:G110)</f>
        <v>469860.68</v>
      </c>
      <c r="H111" s="41">
        <f>SUM(H96:H110)</f>
        <v>285275.75</v>
      </c>
      <c r="I111" s="41">
        <f>SUM(I96:I110)</f>
        <v>0</v>
      </c>
      <c r="J111" s="41">
        <f>SUM(J96:J110)</f>
        <v>3138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21973999.489999998</v>
      </c>
      <c r="G112" s="41">
        <f>G60+G111</f>
        <v>469860.68</v>
      </c>
      <c r="H112" s="41">
        <f>H60+H79+H94+H111</f>
        <v>285275.75</v>
      </c>
      <c r="I112" s="41">
        <f>I60+I111</f>
        <v>0</v>
      </c>
      <c r="J112" s="41">
        <f>J60+J111</f>
        <v>3138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2729632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2729632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444639.59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16229.31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16695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/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477563.9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3207195.9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28609.29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/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187471.24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/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0</v>
      </c>
      <c r="G162" s="41">
        <f>SUM(G150:G161)</f>
        <v>0</v>
      </c>
      <c r="H162" s="41">
        <f>SUM(H150:H161)</f>
        <v>216080.53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216080.53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55774.07</v>
      </c>
      <c r="H179" s="18"/>
      <c r="I179" s="18">
        <v>230608.07</v>
      </c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55774.07</v>
      </c>
      <c r="H183" s="41">
        <f>SUM(H179:H182)</f>
        <v>0</v>
      </c>
      <c r="I183" s="41">
        <f>SUM(I179:I182)</f>
        <v>230608.07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55774.07</v>
      </c>
      <c r="H192" s="41">
        <f>+H183+SUM(H188:H191)</f>
        <v>0</v>
      </c>
      <c r="I192" s="41">
        <f>I177+I183+SUM(I188:I191)</f>
        <v>230608.07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25181195.389999997</v>
      </c>
      <c r="G193" s="47">
        <f>G112+G140+G169+G192</f>
        <v>525634.75</v>
      </c>
      <c r="H193" s="47">
        <f>H112+H140+H169+H192</f>
        <v>501356.28</v>
      </c>
      <c r="I193" s="47">
        <f>I112+I140+I169+I192</f>
        <v>230608.07</v>
      </c>
      <c r="J193" s="47">
        <f>J112+J140+J192</f>
        <v>3138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/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2498910.7000000002</v>
      </c>
      <c r="G215" s="18">
        <v>819197.9</v>
      </c>
      <c r="H215" s="18">
        <v>55980.76</v>
      </c>
      <c r="I215" s="18">
        <v>89365.61</v>
      </c>
      <c r="J215" s="18">
        <v>95419.31</v>
      </c>
      <c r="K215" s="18">
        <v>-1380.07</v>
      </c>
      <c r="L215" s="19">
        <f>SUM(F215:K215)</f>
        <v>3557494.21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916448.33</v>
      </c>
      <c r="G216" s="18">
        <v>514084.8</v>
      </c>
      <c r="H216" s="18">
        <v>21107.5</v>
      </c>
      <c r="I216" s="18">
        <v>3828.1</v>
      </c>
      <c r="J216" s="18">
        <v>899.09</v>
      </c>
      <c r="K216" s="18">
        <v>0</v>
      </c>
      <c r="L216" s="19">
        <f>SUM(F216:K216)</f>
        <v>1456367.82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27322.07</v>
      </c>
      <c r="G218" s="18">
        <v>3400.43</v>
      </c>
      <c r="H218" s="18">
        <v>4924.95</v>
      </c>
      <c r="I218" s="18">
        <v>0</v>
      </c>
      <c r="J218" s="18">
        <v>0</v>
      </c>
      <c r="K218" s="18">
        <v>0</v>
      </c>
      <c r="L218" s="19">
        <f>SUM(F218:K218)</f>
        <v>35647.449999999997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223248.43</v>
      </c>
      <c r="G220" s="18">
        <v>105951.77</v>
      </c>
      <c r="H220" s="18">
        <v>1385.28</v>
      </c>
      <c r="I220" s="18">
        <v>2478.6799999999998</v>
      </c>
      <c r="J220" s="18">
        <v>714.34</v>
      </c>
      <c r="K220" s="18">
        <v>105</v>
      </c>
      <c r="L220" s="19">
        <f t="shared" ref="L220:L226" si="2">SUM(F220:K220)</f>
        <v>333883.50000000006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100162.88</v>
      </c>
      <c r="G221" s="18">
        <v>113807.75</v>
      </c>
      <c r="H221" s="18">
        <v>3921.93</v>
      </c>
      <c r="I221" s="18">
        <v>27811.58</v>
      </c>
      <c r="J221" s="18">
        <v>4491.24</v>
      </c>
      <c r="K221" s="18">
        <v>0</v>
      </c>
      <c r="L221" s="19">
        <f t="shared" si="2"/>
        <v>250195.38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4443.1099999999997</v>
      </c>
      <c r="G222" s="18">
        <v>355.58</v>
      </c>
      <c r="H222" s="18">
        <v>303875.93</v>
      </c>
      <c r="I222" s="18">
        <v>0</v>
      </c>
      <c r="J222" s="18">
        <v>0</v>
      </c>
      <c r="K222" s="18">
        <v>2225.16</v>
      </c>
      <c r="L222" s="19">
        <f t="shared" si="2"/>
        <v>310899.77999999997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301674.46000000002</v>
      </c>
      <c r="G223" s="18">
        <v>183900.16</v>
      </c>
      <c r="H223" s="18">
        <v>23739.69</v>
      </c>
      <c r="I223" s="18">
        <v>1858.91</v>
      </c>
      <c r="J223" s="18">
        <v>0</v>
      </c>
      <c r="K223" s="18">
        <v>800</v>
      </c>
      <c r="L223" s="19">
        <f t="shared" si="2"/>
        <v>511973.22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336380.21</v>
      </c>
      <c r="G225" s="18">
        <v>127168.42</v>
      </c>
      <c r="H225" s="18">
        <v>118636.31</v>
      </c>
      <c r="I225" s="18">
        <v>90170.86</v>
      </c>
      <c r="J225" s="18">
        <v>1493.2</v>
      </c>
      <c r="K225" s="18">
        <v>-6578.25</v>
      </c>
      <c r="L225" s="19">
        <f t="shared" si="2"/>
        <v>667270.74999999988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20860.830000000002</v>
      </c>
      <c r="I226" s="18">
        <v>0</v>
      </c>
      <c r="J226" s="18">
        <v>0</v>
      </c>
      <c r="K226" s="18">
        <v>0</v>
      </c>
      <c r="L226" s="19">
        <f t="shared" si="2"/>
        <v>20860.830000000002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4408590.1900000004</v>
      </c>
      <c r="G229" s="41">
        <f>SUM(G215:G228)</f>
        <v>1867866.8099999998</v>
      </c>
      <c r="H229" s="41">
        <f>SUM(H215:H228)</f>
        <v>554433.17999999993</v>
      </c>
      <c r="I229" s="41">
        <f>SUM(I215:I228)</f>
        <v>215513.74</v>
      </c>
      <c r="J229" s="41">
        <f>SUM(J215:J228)</f>
        <v>103017.18</v>
      </c>
      <c r="K229" s="41">
        <f t="shared" si="3"/>
        <v>-4828.16</v>
      </c>
      <c r="L229" s="41">
        <f t="shared" si="3"/>
        <v>7144592.9400000004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4894012.76</v>
      </c>
      <c r="G233" s="18">
        <v>1623329.46</v>
      </c>
      <c r="H233" s="18">
        <v>80925.69</v>
      </c>
      <c r="I233" s="18">
        <v>138442.15</v>
      </c>
      <c r="J233" s="18">
        <v>193388.26</v>
      </c>
      <c r="K233" s="18">
        <v>359.82</v>
      </c>
      <c r="L233" s="19">
        <f>SUM(F233:K233)</f>
        <v>6930458.1400000006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920967.89</v>
      </c>
      <c r="G234" s="18">
        <v>402589.27</v>
      </c>
      <c r="H234" s="18">
        <v>53210.09</v>
      </c>
      <c r="I234" s="18">
        <v>5644.49</v>
      </c>
      <c r="J234" s="18">
        <v>376.61</v>
      </c>
      <c r="K234" s="18">
        <v>600</v>
      </c>
      <c r="L234" s="19">
        <f>SUM(F234:K234)</f>
        <v>1383388.3500000003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53334.6</v>
      </c>
      <c r="I235" s="18">
        <v>0</v>
      </c>
      <c r="J235" s="18">
        <v>0</v>
      </c>
      <c r="K235" s="18">
        <v>0</v>
      </c>
      <c r="L235" s="19">
        <f>SUM(F235:K235)</f>
        <v>53334.6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449560.25</v>
      </c>
      <c r="G236" s="18">
        <v>115093.87</v>
      </c>
      <c r="H236" s="18">
        <v>171028.99</v>
      </c>
      <c r="I236" s="18">
        <v>10114.870000000001</v>
      </c>
      <c r="J236" s="18">
        <v>39474.86</v>
      </c>
      <c r="K236" s="18">
        <v>6050.37</v>
      </c>
      <c r="L236" s="19">
        <f>SUM(F236:K236)</f>
        <v>791323.21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671762.15</v>
      </c>
      <c r="G238" s="18">
        <v>277526.36</v>
      </c>
      <c r="H238" s="18">
        <v>11620.26</v>
      </c>
      <c r="I238" s="18">
        <v>6870.21</v>
      </c>
      <c r="J238" s="18">
        <v>0</v>
      </c>
      <c r="K238" s="18">
        <v>650</v>
      </c>
      <c r="L238" s="19">
        <f t="shared" ref="L238:L244" si="4">SUM(F238:K238)</f>
        <v>968428.98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145600.92000000001</v>
      </c>
      <c r="G239" s="18">
        <v>148323.93</v>
      </c>
      <c r="H239" s="18">
        <v>18277.57</v>
      </c>
      <c r="I239" s="18">
        <v>61866.04</v>
      </c>
      <c r="J239" s="18">
        <v>22903.55</v>
      </c>
      <c r="K239" s="18">
        <v>700</v>
      </c>
      <c r="L239" s="19">
        <f t="shared" si="4"/>
        <v>397672.00999999995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9065.39</v>
      </c>
      <c r="G240" s="18">
        <v>725.5</v>
      </c>
      <c r="H240" s="18">
        <v>620004.92000000004</v>
      </c>
      <c r="I240" s="18">
        <v>0</v>
      </c>
      <c r="J240" s="18">
        <v>0</v>
      </c>
      <c r="K240" s="18">
        <v>4540.03</v>
      </c>
      <c r="L240" s="19">
        <f t="shared" si="4"/>
        <v>634335.84000000008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661244.09</v>
      </c>
      <c r="G241" s="18">
        <v>520465.51</v>
      </c>
      <c r="H241" s="18">
        <v>59223.9</v>
      </c>
      <c r="I241" s="18">
        <v>20380.22</v>
      </c>
      <c r="J241" s="18">
        <v>0</v>
      </c>
      <c r="K241" s="18">
        <v>4860</v>
      </c>
      <c r="L241" s="19">
        <f t="shared" si="4"/>
        <v>1266173.72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559464.14</v>
      </c>
      <c r="G243" s="18">
        <v>232051.12</v>
      </c>
      <c r="H243" s="18">
        <v>243584.55</v>
      </c>
      <c r="I243" s="18">
        <v>202542.04</v>
      </c>
      <c r="J243" s="18">
        <v>14347.38</v>
      </c>
      <c r="K243" s="18">
        <v>-13421.75</v>
      </c>
      <c r="L243" s="19">
        <f t="shared" si="4"/>
        <v>1238567.48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187009.65</v>
      </c>
      <c r="I244" s="18">
        <v>0</v>
      </c>
      <c r="J244" s="18">
        <v>11490.57</v>
      </c>
      <c r="K244" s="18">
        <v>0</v>
      </c>
      <c r="L244" s="19">
        <f t="shared" si="4"/>
        <v>198500.22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8311677.5899999989</v>
      </c>
      <c r="G247" s="41">
        <f t="shared" si="5"/>
        <v>3320105.0200000005</v>
      </c>
      <c r="H247" s="41">
        <f t="shared" si="5"/>
        <v>1498220.22</v>
      </c>
      <c r="I247" s="41">
        <f t="shared" si="5"/>
        <v>445860.02</v>
      </c>
      <c r="J247" s="41">
        <f t="shared" si="5"/>
        <v>281981.23</v>
      </c>
      <c r="K247" s="41">
        <f t="shared" si="5"/>
        <v>4338.4699999999975</v>
      </c>
      <c r="L247" s="41">
        <f t="shared" si="5"/>
        <v>13862182.550000003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155172.78</v>
      </c>
      <c r="I255" s="18"/>
      <c r="J255" s="18"/>
      <c r="K255" s="18"/>
      <c r="L255" s="19">
        <f t="shared" si="6"/>
        <v>155172.78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155172.78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155172.78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12720267.779999999</v>
      </c>
      <c r="G257" s="41">
        <f t="shared" si="8"/>
        <v>5187971.83</v>
      </c>
      <c r="H257" s="41">
        <f t="shared" si="8"/>
        <v>2207826.1799999997</v>
      </c>
      <c r="I257" s="41">
        <f t="shared" si="8"/>
        <v>661373.76</v>
      </c>
      <c r="J257" s="41">
        <f t="shared" si="8"/>
        <v>384998.41</v>
      </c>
      <c r="K257" s="41">
        <f t="shared" si="8"/>
        <v>-489.69000000000233</v>
      </c>
      <c r="L257" s="41">
        <f t="shared" si="8"/>
        <v>21161948.270000003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1996231.26</v>
      </c>
      <c r="L260" s="19">
        <f>SUM(F260:K260)</f>
        <v>1996231.26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1483577.18</v>
      </c>
      <c r="L261" s="19">
        <f>SUM(F261:K261)</f>
        <v>1483577.18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55774.07</v>
      </c>
      <c r="L263" s="19">
        <f>SUM(F263:K263)</f>
        <v>55774.07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230608.07</v>
      </c>
      <c r="L265" s="19">
        <f t="shared" si="9"/>
        <v>230608.07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3766190.5799999996</v>
      </c>
      <c r="L270" s="41">
        <f t="shared" si="9"/>
        <v>3766190.5799999996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12720267.779999999</v>
      </c>
      <c r="G271" s="42">
        <f t="shared" si="11"/>
        <v>5187971.83</v>
      </c>
      <c r="H271" s="42">
        <f t="shared" si="11"/>
        <v>2207826.1799999997</v>
      </c>
      <c r="I271" s="42">
        <f t="shared" si="11"/>
        <v>661373.76</v>
      </c>
      <c r="J271" s="42">
        <f t="shared" si="11"/>
        <v>384998.41</v>
      </c>
      <c r="K271" s="42">
        <f t="shared" si="11"/>
        <v>3765700.8899999997</v>
      </c>
      <c r="L271" s="42">
        <f t="shared" si="11"/>
        <v>24928138.850000001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5228.4799999999996</v>
      </c>
      <c r="G295" s="18">
        <v>10473.9</v>
      </c>
      <c r="H295" s="18">
        <v>2804.75</v>
      </c>
      <c r="I295" s="18"/>
      <c r="J295" s="18"/>
      <c r="K295" s="18"/>
      <c r="L295" s="19">
        <f>SUM(F295:K295)</f>
        <v>18507.129999999997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101051</v>
      </c>
      <c r="G296" s="18"/>
      <c r="H296" s="18"/>
      <c r="I296" s="18"/>
      <c r="J296" s="18"/>
      <c r="K296" s="18"/>
      <c r="L296" s="19">
        <f>SUM(F296:K296)</f>
        <v>101051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106279.48</v>
      </c>
      <c r="G309" s="42">
        <f t="shared" si="15"/>
        <v>10473.9</v>
      </c>
      <c r="H309" s="42">
        <f t="shared" si="15"/>
        <v>2804.75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119558.13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31682.16</v>
      </c>
      <c r="G314" s="18">
        <v>281.77999999999997</v>
      </c>
      <c r="H314" s="18">
        <v>77235.11</v>
      </c>
      <c r="I314" s="18">
        <v>182265.53</v>
      </c>
      <c r="J314" s="18"/>
      <c r="K314" s="18"/>
      <c r="L314" s="19">
        <f>SUM(F314:K314)</f>
        <v>291464.58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85355.82</v>
      </c>
      <c r="G315" s="18">
        <v>2432.2399999999998</v>
      </c>
      <c r="H315" s="18"/>
      <c r="I315" s="18"/>
      <c r="J315" s="18"/>
      <c r="K315" s="18"/>
      <c r="L315" s="19">
        <f>SUM(F315:K315)</f>
        <v>87788.060000000012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4114</v>
      </c>
      <c r="G317" s="18">
        <v>258.10000000000002</v>
      </c>
      <c r="H317" s="18">
        <v>9558.33</v>
      </c>
      <c r="I317" s="18"/>
      <c r="J317" s="18"/>
      <c r="K317" s="18"/>
      <c r="L317" s="19">
        <f>SUM(F317:K317)</f>
        <v>13930.43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v>2155.56</v>
      </c>
      <c r="I325" s="18"/>
      <c r="J325" s="18"/>
      <c r="K325" s="18"/>
      <c r="L325" s="19">
        <f t="shared" si="16"/>
        <v>2155.56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121151.98000000001</v>
      </c>
      <c r="G328" s="42">
        <f t="shared" si="17"/>
        <v>2972.1199999999994</v>
      </c>
      <c r="H328" s="42">
        <f t="shared" si="17"/>
        <v>88949</v>
      </c>
      <c r="I328" s="42">
        <f t="shared" si="17"/>
        <v>182265.53</v>
      </c>
      <c r="J328" s="42">
        <f t="shared" si="17"/>
        <v>0</v>
      </c>
      <c r="K328" s="42">
        <f t="shared" si="17"/>
        <v>0</v>
      </c>
      <c r="L328" s="41">
        <f t="shared" si="17"/>
        <v>395338.63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227431.46000000002</v>
      </c>
      <c r="G338" s="41">
        <f t="shared" si="20"/>
        <v>13446.019999999999</v>
      </c>
      <c r="H338" s="41">
        <f t="shared" si="20"/>
        <v>91753.75</v>
      </c>
      <c r="I338" s="41">
        <f t="shared" si="20"/>
        <v>182265.53</v>
      </c>
      <c r="J338" s="41">
        <f t="shared" si="20"/>
        <v>0</v>
      </c>
      <c r="K338" s="41">
        <f t="shared" si="20"/>
        <v>0</v>
      </c>
      <c r="L338" s="41">
        <f t="shared" si="20"/>
        <v>514896.76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227431.46000000002</v>
      </c>
      <c r="G352" s="41">
        <f>G338</f>
        <v>13446.019999999999</v>
      </c>
      <c r="H352" s="41">
        <f>H338</f>
        <v>91753.75</v>
      </c>
      <c r="I352" s="41">
        <f>I338</f>
        <v>182265.53</v>
      </c>
      <c r="J352" s="41">
        <f>J338</f>
        <v>0</v>
      </c>
      <c r="K352" s="47">
        <f>K338+K351</f>
        <v>0</v>
      </c>
      <c r="L352" s="41">
        <f>L338+L351</f>
        <v>514896.76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74452.72</v>
      </c>
      <c r="G359" s="18">
        <v>32510.240000000002</v>
      </c>
      <c r="H359" s="18">
        <v>7836.94</v>
      </c>
      <c r="I359" s="18">
        <v>118221.86</v>
      </c>
      <c r="J359" s="18">
        <v>-172.62</v>
      </c>
      <c r="K359" s="18"/>
      <c r="L359" s="19">
        <f>SUM(F359:K359)</f>
        <v>232849.14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v>267956.76</v>
      </c>
      <c r="I360" s="18"/>
      <c r="J360" s="18">
        <v>549</v>
      </c>
      <c r="K360" s="18"/>
      <c r="L360" s="19">
        <f>SUM(F360:K360)</f>
        <v>268505.76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74452.72</v>
      </c>
      <c r="G362" s="47">
        <f t="shared" si="22"/>
        <v>32510.240000000002</v>
      </c>
      <c r="H362" s="47">
        <f t="shared" si="22"/>
        <v>275793.7</v>
      </c>
      <c r="I362" s="47">
        <f t="shared" si="22"/>
        <v>118221.86</v>
      </c>
      <c r="J362" s="47">
        <f t="shared" si="22"/>
        <v>376.38</v>
      </c>
      <c r="K362" s="47">
        <f t="shared" si="22"/>
        <v>0</v>
      </c>
      <c r="L362" s="47">
        <f t="shared" si="22"/>
        <v>501354.9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>
        <v>113314.44999999998</v>
      </c>
      <c r="H367" s="18"/>
      <c r="I367" s="56">
        <f>SUM(F367:H367)</f>
        <v>113314.44999999998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>
        <v>4907.41</v>
      </c>
      <c r="H368" s="63"/>
      <c r="I368" s="56">
        <f>SUM(F368:H368)</f>
        <v>4907.41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118221.85999999999</v>
      </c>
      <c r="H369" s="47">
        <f>SUM(H367:H368)</f>
        <v>0</v>
      </c>
      <c r="I369" s="47">
        <f>SUM(I367:I368)</f>
        <v>118221.85999999999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>
        <v>99173.86</v>
      </c>
      <c r="I375" s="18"/>
      <c r="J375" s="18"/>
      <c r="K375" s="18"/>
      <c r="L375" s="13">
        <f t="shared" ref="L375:L381" si="23">SUM(F375:K375)</f>
        <v>99173.86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99173.86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99173.86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3138</v>
      </c>
      <c r="I398" s="18"/>
      <c r="J398" s="24" t="s">
        <v>288</v>
      </c>
      <c r="K398" s="24" t="s">
        <v>288</v>
      </c>
      <c r="L398" s="56">
        <f t="shared" si="26"/>
        <v>3138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3138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3138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3138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3138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>
        <v>369</v>
      </c>
      <c r="L426" s="56">
        <f t="shared" si="29"/>
        <v>369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369</v>
      </c>
      <c r="L427" s="47">
        <f t="shared" si="30"/>
        <v>369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369</v>
      </c>
      <c r="L434" s="47">
        <f t="shared" si="32"/>
        <v>369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56125.57</v>
      </c>
      <c r="G439" s="18">
        <v>32297</v>
      </c>
      <c r="H439" s="18"/>
      <c r="I439" s="56">
        <f t="shared" ref="I439:I445" si="33">SUM(F439:H439)</f>
        <v>88422.57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56125.57</v>
      </c>
      <c r="G446" s="13">
        <f>SUM(G439:G445)</f>
        <v>32297</v>
      </c>
      <c r="H446" s="13">
        <f>SUM(H439:H445)</f>
        <v>0</v>
      </c>
      <c r="I446" s="13">
        <f>SUM(I439:I445)</f>
        <v>88422.57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56125.57</v>
      </c>
      <c r="G459" s="18">
        <v>32297</v>
      </c>
      <c r="H459" s="18"/>
      <c r="I459" s="56">
        <f t="shared" si="34"/>
        <v>88422.57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56125.57</v>
      </c>
      <c r="G460" s="83">
        <f>SUM(G454:G459)</f>
        <v>32297</v>
      </c>
      <c r="H460" s="83">
        <f>SUM(H454:H459)</f>
        <v>0</v>
      </c>
      <c r="I460" s="83">
        <f>SUM(I454:I459)</f>
        <v>88422.57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56125.57</v>
      </c>
      <c r="G461" s="42">
        <f>G452+G460</f>
        <v>32297</v>
      </c>
      <c r="H461" s="42">
        <f>H452+H460</f>
        <v>0</v>
      </c>
      <c r="I461" s="42">
        <f>I452+I460</f>
        <v>88422.57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444416.98</v>
      </c>
      <c r="G465" s="18">
        <v>-45857</v>
      </c>
      <c r="H465" s="18">
        <v>108202.87</v>
      </c>
      <c r="I465" s="18">
        <v>14383.53</v>
      </c>
      <c r="J465" s="18">
        <v>85652.57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25181195.390000001</v>
      </c>
      <c r="G468" s="18">
        <v>525634.75</v>
      </c>
      <c r="H468" s="18">
        <v>501356.28</v>
      </c>
      <c r="I468" s="18">
        <v>230608.07</v>
      </c>
      <c r="J468" s="18">
        <v>3138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94508.73</v>
      </c>
      <c r="G469" s="18">
        <v>45848.2</v>
      </c>
      <c r="H469" s="18">
        <v>191.42000000000002</v>
      </c>
      <c r="I469" s="18"/>
      <c r="J469" s="18">
        <v>1</v>
      </c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25275704.120000001</v>
      </c>
      <c r="G470" s="53">
        <f>SUM(G468:G469)</f>
        <v>571482.94999999995</v>
      </c>
      <c r="H470" s="53">
        <f>SUM(H468:H469)</f>
        <v>501547.7</v>
      </c>
      <c r="I470" s="53">
        <f>SUM(I468:I469)</f>
        <v>230608.07</v>
      </c>
      <c r="J470" s="53">
        <f>SUM(J468:J469)</f>
        <v>3139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24928138.850000001</v>
      </c>
      <c r="G472" s="18">
        <v>501354.9</v>
      </c>
      <c r="H472" s="18">
        <v>514896.76</v>
      </c>
      <c r="I472" s="18">
        <v>99173.86</v>
      </c>
      <c r="J472" s="18">
        <v>369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>
        <v>131407.74</v>
      </c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24928138.850000001</v>
      </c>
      <c r="G474" s="53">
        <f>SUM(G472:G473)</f>
        <v>501354.9</v>
      </c>
      <c r="H474" s="53">
        <f>SUM(H472:H473)</f>
        <v>514896.76</v>
      </c>
      <c r="I474" s="53">
        <f>SUM(I472:I473)</f>
        <v>230581.59999999998</v>
      </c>
      <c r="J474" s="53">
        <f>SUM(J472:J473)</f>
        <v>369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791982.25</v>
      </c>
      <c r="G476" s="53">
        <f>(G465+G470)- G474</f>
        <v>24271.04999999993</v>
      </c>
      <c r="H476" s="53">
        <f>(H465+H470)- H474</f>
        <v>94853.810000000056</v>
      </c>
      <c r="I476" s="53">
        <f>(I465+I470)- I474</f>
        <v>14410.000000000029</v>
      </c>
      <c r="J476" s="53">
        <f>(J465+J470)- J474</f>
        <v>88422.57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>
        <v>2.6626726576801463E-4</v>
      </c>
      <c r="I491" s="154">
        <v>2.6653339996668331E-4</v>
      </c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2532900</v>
      </c>
      <c r="G493" s="18">
        <v>4000000</v>
      </c>
      <c r="H493" s="18">
        <v>38460936</v>
      </c>
      <c r="I493" s="18">
        <v>1100000</v>
      </c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4.08</v>
      </c>
      <c r="G494" s="18">
        <v>4.47</v>
      </c>
      <c r="H494" s="18">
        <v>4.62</v>
      </c>
      <c r="I494" s="18">
        <v>4.71</v>
      </c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1125155</v>
      </c>
      <c r="G495" s="18">
        <v>1374468</v>
      </c>
      <c r="H495" s="18">
        <v>10912138</v>
      </c>
      <c r="I495" s="18">
        <v>330000</v>
      </c>
      <c r="J495" s="18"/>
      <c r="K495" s="53">
        <f>SUM(F495:J495)</f>
        <v>13741761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124631.58</v>
      </c>
      <c r="G497" s="18">
        <v>182154.87</v>
      </c>
      <c r="H497" s="18">
        <v>1595109.62</v>
      </c>
      <c r="I497" s="18">
        <v>55000</v>
      </c>
      <c r="J497" s="18"/>
      <c r="K497" s="53">
        <f t="shared" si="35"/>
        <v>1956896.07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1000523</v>
      </c>
      <c r="G498" s="204">
        <v>1192313</v>
      </c>
      <c r="H498" s="204">
        <v>9317029</v>
      </c>
      <c r="I498" s="204">
        <v>275000</v>
      </c>
      <c r="J498" s="204"/>
      <c r="K498" s="205">
        <f t="shared" si="35"/>
        <v>11784865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856690</v>
      </c>
      <c r="G499" s="18">
        <v>1267850</v>
      </c>
      <c r="H499" s="18">
        <v>11184426</v>
      </c>
      <c r="I499" s="18">
        <v>34348</v>
      </c>
      <c r="J499" s="18"/>
      <c r="K499" s="53">
        <f t="shared" si="35"/>
        <v>13343314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1857213</v>
      </c>
      <c r="G500" s="42">
        <f>SUM(G498:G499)</f>
        <v>2460163</v>
      </c>
      <c r="H500" s="42">
        <f>SUM(H498:H499)</f>
        <v>20501455</v>
      </c>
      <c r="I500" s="42">
        <f>SUM(I498:I499)</f>
        <v>309348</v>
      </c>
      <c r="J500" s="42">
        <f>SUM(J498:J499)</f>
        <v>0</v>
      </c>
      <c r="K500" s="42">
        <f t="shared" si="35"/>
        <v>25128179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121898</v>
      </c>
      <c r="G501" s="204">
        <v>172346</v>
      </c>
      <c r="H501" s="204">
        <v>1524407</v>
      </c>
      <c r="I501" s="204">
        <v>55000</v>
      </c>
      <c r="J501" s="204"/>
      <c r="K501" s="205">
        <f t="shared" si="35"/>
        <v>1873651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72608</v>
      </c>
      <c r="G502" s="18">
        <v>132923</v>
      </c>
      <c r="H502" s="18">
        <v>1361558</v>
      </c>
      <c r="I502" s="18">
        <v>12348</v>
      </c>
      <c r="J502" s="18"/>
      <c r="K502" s="53">
        <f t="shared" si="35"/>
        <v>1579437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194506</v>
      </c>
      <c r="G503" s="42">
        <f>SUM(G501:G502)</f>
        <v>305269</v>
      </c>
      <c r="H503" s="42">
        <f>SUM(H501:H502)</f>
        <v>2885965</v>
      </c>
      <c r="I503" s="42">
        <f>SUM(I501:I502)</f>
        <v>67348</v>
      </c>
      <c r="J503" s="42">
        <f>SUM(J501:J502)</f>
        <v>0</v>
      </c>
      <c r="K503" s="42">
        <f t="shared" si="35"/>
        <v>3453088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1017499.33</v>
      </c>
      <c r="G522" s="18">
        <v>164507.14000000001</v>
      </c>
      <c r="H522" s="18">
        <v>21107.5</v>
      </c>
      <c r="I522" s="18">
        <v>3828.1</v>
      </c>
      <c r="J522" s="18">
        <v>899.09</v>
      </c>
      <c r="K522" s="18"/>
      <c r="L522" s="88">
        <f>SUM(F522:K522)</f>
        <v>1207841.1600000001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1004955.89</v>
      </c>
      <c r="G523" s="18">
        <v>128828.57</v>
      </c>
      <c r="H523" s="18">
        <v>53210.09</v>
      </c>
      <c r="I523" s="18">
        <v>5644.49</v>
      </c>
      <c r="J523" s="18">
        <v>376.61</v>
      </c>
      <c r="K523" s="18">
        <v>600</v>
      </c>
      <c r="L523" s="88">
        <f>SUM(F523:K523)</f>
        <v>1193615.6500000001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2022455.22</v>
      </c>
      <c r="G524" s="108">
        <f t="shared" ref="G524:L524" si="36">SUM(G521:G523)</f>
        <v>293335.71000000002</v>
      </c>
      <c r="H524" s="108">
        <f t="shared" si="36"/>
        <v>74317.59</v>
      </c>
      <c r="I524" s="108">
        <f t="shared" si="36"/>
        <v>9472.59</v>
      </c>
      <c r="J524" s="108">
        <f t="shared" si="36"/>
        <v>1275.7</v>
      </c>
      <c r="K524" s="108">
        <f t="shared" si="36"/>
        <v>600</v>
      </c>
      <c r="L524" s="89">
        <f t="shared" si="36"/>
        <v>2401456.8100000005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20972.5</v>
      </c>
      <c r="I527" s="18"/>
      <c r="J527" s="18"/>
      <c r="K527" s="18"/>
      <c r="L527" s="88">
        <f>SUM(F527:K527)</f>
        <v>20972.5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51604.85</v>
      </c>
      <c r="I528" s="18"/>
      <c r="J528" s="18"/>
      <c r="K528" s="18"/>
      <c r="L528" s="88">
        <f>SUM(F528:K528)</f>
        <v>51604.85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72577.350000000006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72577.350000000006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29485</v>
      </c>
      <c r="G532" s="18">
        <v>10096</v>
      </c>
      <c r="H532" s="18">
        <v>974</v>
      </c>
      <c r="I532" s="18"/>
      <c r="J532" s="18"/>
      <c r="K532" s="18"/>
      <c r="L532" s="88">
        <f>SUM(F532:K532)</f>
        <v>40555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56022</v>
      </c>
      <c r="G533" s="18">
        <v>20892</v>
      </c>
      <c r="H533" s="18">
        <v>1851</v>
      </c>
      <c r="I533" s="18"/>
      <c r="J533" s="18"/>
      <c r="K533" s="18"/>
      <c r="L533" s="88">
        <f>SUM(F533:K533)</f>
        <v>78765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85507</v>
      </c>
      <c r="G534" s="89">
        <f t="shared" ref="G534:L534" si="38">SUM(G531:G533)</f>
        <v>30988</v>
      </c>
      <c r="H534" s="89">
        <f t="shared" si="38"/>
        <v>2825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119320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2875.8</v>
      </c>
      <c r="I537" s="18"/>
      <c r="J537" s="18"/>
      <c r="K537" s="18"/>
      <c r="L537" s="88">
        <f>SUM(F537:K537)</f>
        <v>2875.8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5838.75</v>
      </c>
      <c r="I538" s="18"/>
      <c r="J538" s="18"/>
      <c r="K538" s="18"/>
      <c r="L538" s="88">
        <f>SUM(F538:K538)</f>
        <v>5838.75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8714.5499999999993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8714.5499999999993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751.84</v>
      </c>
      <c r="I542" s="18"/>
      <c r="J542" s="18"/>
      <c r="K542" s="18"/>
      <c r="L542" s="88">
        <f>SUM(F542:K542)</f>
        <v>751.84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5340.61</v>
      </c>
      <c r="I543" s="18"/>
      <c r="J543" s="18"/>
      <c r="K543" s="18"/>
      <c r="L543" s="88">
        <f>SUM(F543:K543)</f>
        <v>5340.61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6092.45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6092.45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2107962.2199999997</v>
      </c>
      <c r="G545" s="89">
        <f t="shared" ref="G545:L545" si="41">G524+G529+G534+G539+G544</f>
        <v>324323.71000000002</v>
      </c>
      <c r="H545" s="89">
        <f t="shared" si="41"/>
        <v>164526.94</v>
      </c>
      <c r="I545" s="89">
        <f t="shared" si="41"/>
        <v>9472.59</v>
      </c>
      <c r="J545" s="89">
        <f t="shared" si="41"/>
        <v>1275.7</v>
      </c>
      <c r="K545" s="89">
        <f t="shared" si="41"/>
        <v>600</v>
      </c>
      <c r="L545" s="89">
        <f t="shared" si="41"/>
        <v>2608161.1600000006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1207841.1600000001</v>
      </c>
      <c r="G550" s="87">
        <f>L527</f>
        <v>20972.5</v>
      </c>
      <c r="H550" s="87">
        <f>L532</f>
        <v>40555</v>
      </c>
      <c r="I550" s="87">
        <f>L537</f>
        <v>2875.8</v>
      </c>
      <c r="J550" s="87">
        <f>L542</f>
        <v>751.84</v>
      </c>
      <c r="K550" s="87">
        <f>SUM(F550:J550)</f>
        <v>1272996.3000000003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1193615.6500000001</v>
      </c>
      <c r="G551" s="87">
        <f>L528</f>
        <v>51604.85</v>
      </c>
      <c r="H551" s="87">
        <f>L533</f>
        <v>78765</v>
      </c>
      <c r="I551" s="87">
        <f>L538</f>
        <v>5838.75</v>
      </c>
      <c r="J551" s="87">
        <f>L543</f>
        <v>5340.61</v>
      </c>
      <c r="K551" s="87">
        <f>SUM(F551:J551)</f>
        <v>1335164.8600000003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2401456.8100000005</v>
      </c>
      <c r="G552" s="89">
        <f t="shared" si="42"/>
        <v>72577.350000000006</v>
      </c>
      <c r="H552" s="89">
        <f t="shared" si="42"/>
        <v>119320</v>
      </c>
      <c r="I552" s="89">
        <f t="shared" si="42"/>
        <v>8714.5499999999993</v>
      </c>
      <c r="J552" s="89">
        <f t="shared" si="42"/>
        <v>6092.45</v>
      </c>
      <c r="K552" s="89">
        <f t="shared" si="42"/>
        <v>2608161.1600000006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53334.6</v>
      </c>
      <c r="I585" s="87">
        <f t="shared" si="47"/>
        <v>53334.6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/>
      <c r="I591" s="18"/>
      <c r="J591" s="18">
        <v>31215.63</v>
      </c>
      <c r="K591" s="104">
        <f t="shared" ref="K591:K597" si="48">SUM(H591:J591)</f>
        <v>31215.63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/>
      <c r="I592" s="18">
        <v>751.84</v>
      </c>
      <c r="J592" s="18">
        <v>5340.61</v>
      </c>
      <c r="K592" s="104">
        <f t="shared" si="48"/>
        <v>6092.45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40695.089999999997</v>
      </c>
      <c r="K593" s="104">
        <f t="shared" si="48"/>
        <v>40695.089999999997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>
        <v>97989.21</v>
      </c>
      <c r="K594" s="104">
        <f t="shared" si="48"/>
        <v>97989.21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>
        <v>12002.84</v>
      </c>
      <c r="J595" s="18">
        <v>23259.68</v>
      </c>
      <c r="K595" s="104">
        <f t="shared" si="48"/>
        <v>35262.520000000004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>
        <v>8106.15</v>
      </c>
      <c r="J596" s="18"/>
      <c r="K596" s="104">
        <f t="shared" si="48"/>
        <v>8106.15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20860.830000000002</v>
      </c>
      <c r="J598" s="108">
        <f>SUM(J591:J597)</f>
        <v>198500.21999999997</v>
      </c>
      <c r="K598" s="108">
        <f>SUM(K591:K597)</f>
        <v>219361.05000000002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/>
      <c r="I604" s="18">
        <v>127165.12999999999</v>
      </c>
      <c r="J604" s="18">
        <v>257833.28</v>
      </c>
      <c r="K604" s="104">
        <f>SUM(H604:J604)</f>
        <v>384998.41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0</v>
      </c>
      <c r="I605" s="108">
        <f>SUM(I602:I604)</f>
        <v>127165.12999999999</v>
      </c>
      <c r="J605" s="108">
        <f>SUM(J602:J604)</f>
        <v>257833.28</v>
      </c>
      <c r="K605" s="108">
        <f>SUM(K602:K604)</f>
        <v>384998.41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8773.84</v>
      </c>
      <c r="G612" s="18">
        <v>2807.63</v>
      </c>
      <c r="H612" s="18">
        <v>4293</v>
      </c>
      <c r="I612" s="18"/>
      <c r="J612" s="18"/>
      <c r="K612" s="18"/>
      <c r="L612" s="88">
        <f>SUM(F612:K612)</f>
        <v>15874.470000000001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7534.65</v>
      </c>
      <c r="G613" s="18">
        <v>2411.09</v>
      </c>
      <c r="H613" s="18">
        <v>11334.7</v>
      </c>
      <c r="I613" s="18"/>
      <c r="J613" s="18"/>
      <c r="K613" s="18"/>
      <c r="L613" s="88">
        <f>SUM(F613:K613)</f>
        <v>21280.440000000002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16308.49</v>
      </c>
      <c r="G614" s="108">
        <f t="shared" si="49"/>
        <v>5218.72</v>
      </c>
      <c r="H614" s="108">
        <f t="shared" si="49"/>
        <v>15627.7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37154.910000000003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838213.62000000011</v>
      </c>
      <c r="H617" s="109">
        <f>SUM(F52)</f>
        <v>838213.62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6111.93</v>
      </c>
      <c r="H618" s="109">
        <f>SUM(G52)</f>
        <v>6111.93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32787.69</v>
      </c>
      <c r="H619" s="109">
        <f>SUM(H52)</f>
        <v>32787.689999999995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88422.57</v>
      </c>
      <c r="H621" s="109">
        <f>SUM(J52)</f>
        <v>88422.57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791982.25</v>
      </c>
      <c r="H622" s="109">
        <f>F476</f>
        <v>791982.25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24271.05</v>
      </c>
      <c r="H623" s="109">
        <f>G476</f>
        <v>24271.04999999993</v>
      </c>
      <c r="I623" s="121" t="s">
        <v>102</v>
      </c>
      <c r="J623" s="109">
        <f t="shared" si="50"/>
        <v>6.9121597334742546E-11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94853.81</v>
      </c>
      <c r="H624" s="109">
        <f>H476</f>
        <v>94853.810000000056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14410</v>
      </c>
      <c r="H625" s="109">
        <f>I476</f>
        <v>14410.000000000029</v>
      </c>
      <c r="I625" s="121" t="s">
        <v>104</v>
      </c>
      <c r="J625" s="109">
        <f t="shared" si="50"/>
        <v>-2.9103830456733704E-11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88422.57</v>
      </c>
      <c r="H626" s="109">
        <f>J476</f>
        <v>88422.57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25181195.389999997</v>
      </c>
      <c r="H627" s="104">
        <f>SUM(F468)</f>
        <v>25181195.390000001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525634.75</v>
      </c>
      <c r="H628" s="104">
        <f>SUM(G468)</f>
        <v>525634.75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501356.28</v>
      </c>
      <c r="H629" s="104">
        <f>SUM(H468)</f>
        <v>501356.28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230608.07</v>
      </c>
      <c r="H630" s="104">
        <f>SUM(I468)</f>
        <v>230608.07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3138</v>
      </c>
      <c r="H631" s="104">
        <f>SUM(J468)</f>
        <v>3138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24928138.850000001</v>
      </c>
      <c r="H632" s="104">
        <f>SUM(F472)</f>
        <v>24928138.850000001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514896.76</v>
      </c>
      <c r="H633" s="104">
        <f>SUM(H472)</f>
        <v>514896.76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118221.86</v>
      </c>
      <c r="H634" s="104">
        <f>I369</f>
        <v>118221.85999999999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501354.9</v>
      </c>
      <c r="H635" s="104">
        <f>SUM(G472)</f>
        <v>501354.9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99173.86</v>
      </c>
      <c r="H636" s="104">
        <f>SUM(I472)</f>
        <v>99173.86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3138</v>
      </c>
      <c r="H637" s="164">
        <f>SUM(J468)</f>
        <v>3138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369</v>
      </c>
      <c r="H638" s="164">
        <f>SUM(J472)</f>
        <v>369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56125.57</v>
      </c>
      <c r="H639" s="104">
        <f>SUM(F461)</f>
        <v>56125.57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32297</v>
      </c>
      <c r="H640" s="104">
        <f>SUM(G461)</f>
        <v>32297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88422.57</v>
      </c>
      <c r="H642" s="104">
        <f>SUM(I461)</f>
        <v>88422.57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3138</v>
      </c>
      <c r="H644" s="104">
        <f>H408</f>
        <v>3138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3138</v>
      </c>
      <c r="H646" s="104">
        <f>L408</f>
        <v>3138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219361.05000000002</v>
      </c>
      <c r="H647" s="104">
        <f>L208+L226+L244</f>
        <v>219361.05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384998.41</v>
      </c>
      <c r="H648" s="104">
        <f>(J257+J338)-(J255+J336)</f>
        <v>384998.41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0</v>
      </c>
      <c r="H649" s="104">
        <f>H598</f>
        <v>0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20860.830000000002</v>
      </c>
      <c r="H650" s="104">
        <f>I598</f>
        <v>20860.830000000002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198500.22</v>
      </c>
      <c r="H651" s="104">
        <f>J598</f>
        <v>198500.21999999997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55774.07</v>
      </c>
      <c r="H652" s="104">
        <f>K263+K345</f>
        <v>55774.07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230608.07</v>
      </c>
      <c r="H654" s="104">
        <f>K265+K346</f>
        <v>230608.07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7497000.21</v>
      </c>
      <c r="H660" s="19">
        <f>(L247+L328+L360)</f>
        <v>14526026.940000003</v>
      </c>
      <c r="I660" s="19">
        <f>SUM(F660:H660)</f>
        <v>22023027.150000002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218221.97261424034</v>
      </c>
      <c r="H661" s="19">
        <f>(L360/IF(SUM(L358:L360)=0,1,SUM(L358:L360))*(SUM(G97:G110)))</f>
        <v>251638.70738575966</v>
      </c>
      <c r="I661" s="19">
        <f>SUM(F661:H661)</f>
        <v>469860.68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20860.830000000002</v>
      </c>
      <c r="H662" s="19">
        <f>(L244+L325)-(J244+J325)</f>
        <v>189165.21</v>
      </c>
      <c r="I662" s="19">
        <f>SUM(F662:H662)</f>
        <v>210026.03999999998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143039.59999999998</v>
      </c>
      <c r="H663" s="199">
        <f>SUM(H575:H587)+SUM(J602:J604)+L613</f>
        <v>332448.32</v>
      </c>
      <c r="I663" s="19">
        <f>SUM(F663:H663)</f>
        <v>475487.92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7114877.8073857594</v>
      </c>
      <c r="H664" s="19">
        <f>H660-SUM(H661:H663)</f>
        <v>13752774.702614244</v>
      </c>
      <c r="I664" s="19">
        <f>I660-SUM(I661:I663)</f>
        <v>20867652.510000002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0</v>
      </c>
      <c r="G665" s="248">
        <v>375.39</v>
      </c>
      <c r="H665" s="248">
        <v>748.9</v>
      </c>
      <c r="I665" s="19">
        <f>SUM(F665:H665)</f>
        <v>1124.29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>
        <f>ROUND(G664/G665,2)</f>
        <v>18953.3</v>
      </c>
      <c r="H667" s="19">
        <f>ROUND(H664/H665,2)</f>
        <v>18363.97</v>
      </c>
      <c r="I667" s="19">
        <f>ROUND(I664/I665,2)</f>
        <v>18560.740000000002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</v>
      </c>
      <c r="I670" s="19">
        <f>SUM(F670:H670)</f>
        <v>-1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 t="e">
        <f>ROUND((F664+F669)/(F665+F670),2)</f>
        <v>#DIV/0!</v>
      </c>
      <c r="G672" s="19">
        <f>ROUND((G664+G669)/(G665+G670),2)</f>
        <v>18953.3</v>
      </c>
      <c r="H672" s="19">
        <f>ROUND((H664+H669)/(H665+H670),2)</f>
        <v>18388.52</v>
      </c>
      <c r="I672" s="19">
        <f>ROUND((I664+I669)/(I665+I670),2)</f>
        <v>18577.259999999998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Dresden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7429834.1000000006</v>
      </c>
      <c r="C9" s="229">
        <f>'DOE25'!G197+'DOE25'!G215+'DOE25'!G233+'DOE25'!G276+'DOE25'!G295+'DOE25'!G314</f>
        <v>2453283.0399999996</v>
      </c>
    </row>
    <row r="10" spans="1:3" x14ac:dyDescent="0.2">
      <c r="A10" t="s">
        <v>778</v>
      </c>
      <c r="B10" s="240"/>
      <c r="C10" s="240"/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2023823.04</v>
      </c>
      <c r="C18" s="229">
        <f>'DOE25'!G198+'DOE25'!G216+'DOE25'!G234+'DOE25'!G277+'DOE25'!G296+'DOE25'!G315</f>
        <v>919106.31</v>
      </c>
    </row>
    <row r="19" spans="1:3" x14ac:dyDescent="0.2">
      <c r="A19" t="s">
        <v>778</v>
      </c>
      <c r="B19" s="240"/>
      <c r="C19" s="240"/>
    </row>
    <row r="20" spans="1:3" x14ac:dyDescent="0.2">
      <c r="A20" t="s">
        <v>779</v>
      </c>
      <c r="B20" s="240"/>
      <c r="C20" s="240"/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480996.32</v>
      </c>
      <c r="C36" s="235">
        <f>'DOE25'!G200+'DOE25'!G218+'DOE25'!G236+'DOE25'!G279+'DOE25'!G298+'DOE25'!G317</f>
        <v>118752.4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Error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Dresden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14208013.780000001</v>
      </c>
      <c r="D5" s="20">
        <f>SUM('DOE25'!L197:L200)+SUM('DOE25'!L215:L218)+SUM('DOE25'!L233:L236)-F5-G5</f>
        <v>13872825.530000001</v>
      </c>
      <c r="E5" s="243"/>
      <c r="F5" s="255">
        <f>SUM('DOE25'!J197:J200)+SUM('DOE25'!J215:J218)+SUM('DOE25'!J233:J236)</f>
        <v>329558.13</v>
      </c>
      <c r="G5" s="53">
        <f>SUM('DOE25'!K197:K200)+SUM('DOE25'!K215:K218)+SUM('DOE25'!K233:K236)</f>
        <v>5630.12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1302312.48</v>
      </c>
      <c r="D6" s="20">
        <f>'DOE25'!L202+'DOE25'!L220+'DOE25'!L238-F6-G6</f>
        <v>1300843.1399999999</v>
      </c>
      <c r="E6" s="243"/>
      <c r="F6" s="255">
        <f>'DOE25'!J202+'DOE25'!J220+'DOE25'!J238</f>
        <v>714.34</v>
      </c>
      <c r="G6" s="53">
        <f>'DOE25'!K202+'DOE25'!K220+'DOE25'!K238</f>
        <v>755</v>
      </c>
      <c r="H6" s="259"/>
    </row>
    <row r="7" spans="1:9" x14ac:dyDescent="0.2">
      <c r="A7" s="32">
        <v>2200</v>
      </c>
      <c r="B7" t="s">
        <v>833</v>
      </c>
      <c r="C7" s="245">
        <f t="shared" si="0"/>
        <v>647867.3899999999</v>
      </c>
      <c r="D7" s="20">
        <f>'DOE25'!L203+'DOE25'!L221+'DOE25'!L239-F7-G7</f>
        <v>619772.59999999986</v>
      </c>
      <c r="E7" s="243"/>
      <c r="F7" s="255">
        <f>'DOE25'!J203+'DOE25'!J221+'DOE25'!J239</f>
        <v>27394.79</v>
      </c>
      <c r="G7" s="53">
        <f>'DOE25'!K203+'DOE25'!K221+'DOE25'!K239</f>
        <v>700</v>
      </c>
      <c r="H7" s="259"/>
    </row>
    <row r="8" spans="1:9" x14ac:dyDescent="0.2">
      <c r="A8" s="32">
        <v>2300</v>
      </c>
      <c r="B8" t="s">
        <v>801</v>
      </c>
      <c r="C8" s="245">
        <f t="shared" si="0"/>
        <v>763487.00000000012</v>
      </c>
      <c r="D8" s="243"/>
      <c r="E8" s="20">
        <f>'DOE25'!L204+'DOE25'!L222+'DOE25'!L240-F8-G8-D9-D11</f>
        <v>756721.81000000017</v>
      </c>
      <c r="F8" s="255">
        <f>'DOE25'!J204+'DOE25'!J222+'DOE25'!J240</f>
        <v>0</v>
      </c>
      <c r="G8" s="53">
        <f>'DOE25'!K204+'DOE25'!K222+'DOE25'!K240</f>
        <v>6765.19</v>
      </c>
      <c r="H8" s="259"/>
    </row>
    <row r="9" spans="1:9" x14ac:dyDescent="0.2">
      <c r="A9" s="32">
        <v>2310</v>
      </c>
      <c r="B9" t="s">
        <v>817</v>
      </c>
      <c r="C9" s="245">
        <f t="shared" si="0"/>
        <v>65472.62</v>
      </c>
      <c r="D9" s="244">
        <v>65472.62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12870</v>
      </c>
      <c r="D10" s="243"/>
      <c r="E10" s="244">
        <v>12870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116276</v>
      </c>
      <c r="D11" s="244">
        <v>116276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1778146.94</v>
      </c>
      <c r="D12" s="20">
        <f>'DOE25'!L205+'DOE25'!L223+'DOE25'!L241-F12-G12</f>
        <v>1772486.94</v>
      </c>
      <c r="E12" s="243"/>
      <c r="F12" s="255">
        <f>'DOE25'!J205+'DOE25'!J223+'DOE25'!J241</f>
        <v>0</v>
      </c>
      <c r="G12" s="53">
        <f>'DOE25'!K205+'DOE25'!K223+'DOE25'!K241</f>
        <v>5660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1905838.23</v>
      </c>
      <c r="D14" s="20">
        <f>'DOE25'!L207+'DOE25'!L225+'DOE25'!L243-F14-G14</f>
        <v>1909997.65</v>
      </c>
      <c r="E14" s="243"/>
      <c r="F14" s="255">
        <f>'DOE25'!J207+'DOE25'!J225+'DOE25'!J243</f>
        <v>15840.58</v>
      </c>
      <c r="G14" s="53">
        <f>'DOE25'!K207+'DOE25'!K225+'DOE25'!K243</f>
        <v>-20000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219361.05</v>
      </c>
      <c r="D15" s="20">
        <f>'DOE25'!L208+'DOE25'!L226+'DOE25'!L244-F15-G15</f>
        <v>207870.47999999998</v>
      </c>
      <c r="E15" s="243"/>
      <c r="F15" s="255">
        <f>'DOE25'!J208+'DOE25'!J226+'DOE25'!J244</f>
        <v>11490.57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155172.78</v>
      </c>
      <c r="D22" s="243"/>
      <c r="E22" s="243"/>
      <c r="F22" s="255">
        <f>'DOE25'!L255+'DOE25'!L336</f>
        <v>155172.78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3479808.44</v>
      </c>
      <c r="D25" s="243"/>
      <c r="E25" s="243"/>
      <c r="F25" s="258"/>
      <c r="G25" s="256"/>
      <c r="H25" s="257">
        <f>'DOE25'!L260+'DOE25'!L261+'DOE25'!L341+'DOE25'!L342</f>
        <v>3479808.44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388040.45000000007</v>
      </c>
      <c r="D29" s="20">
        <f>'DOE25'!L358+'DOE25'!L359+'DOE25'!L360-'DOE25'!I367-F29-G29</f>
        <v>387664.07000000007</v>
      </c>
      <c r="E29" s="243"/>
      <c r="F29" s="255">
        <f>'DOE25'!J358+'DOE25'!J359+'DOE25'!J360</f>
        <v>376.38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514896.76</v>
      </c>
      <c r="D31" s="20">
        <f>'DOE25'!L290+'DOE25'!L309+'DOE25'!L328+'DOE25'!L333+'DOE25'!L334+'DOE25'!L335-F31-G31</f>
        <v>514896.76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20768105.790000003</v>
      </c>
      <c r="E33" s="246">
        <f>SUM(E5:E31)</f>
        <v>769591.81000000017</v>
      </c>
      <c r="F33" s="246">
        <f>SUM(F5:F31)</f>
        <v>540547.57000000007</v>
      </c>
      <c r="G33" s="246">
        <f>SUM(G5:G31)</f>
        <v>-489.69000000000233</v>
      </c>
      <c r="H33" s="246">
        <f>SUM(H5:H31)</f>
        <v>3479808.44</v>
      </c>
    </row>
    <row r="35" spans="2:8" ht="12" thickBot="1" x14ac:dyDescent="0.25">
      <c r="B35" s="253" t="s">
        <v>846</v>
      </c>
      <c r="D35" s="254">
        <f>E33</f>
        <v>769591.81000000017</v>
      </c>
      <c r="E35" s="249"/>
    </row>
    <row r="36" spans="2:8" ht="12" thickTop="1" x14ac:dyDescent="0.2">
      <c r="B36" t="s">
        <v>814</v>
      </c>
      <c r="D36" s="20">
        <f>D33</f>
        <v>20768105.790000003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Dresden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36165.139999999985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88422.57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751242.77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2591.6400000000003</v>
      </c>
      <c r="D12" s="95">
        <f>'DOE25'!G13</f>
        <v>0</v>
      </c>
      <c r="E12" s="95">
        <f>'DOE25'!H13</f>
        <v>32787.69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36273.789999999994</v>
      </c>
      <c r="D13" s="95">
        <f>'DOE25'!G14</f>
        <v>6111.93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11940.28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838213.62000000011</v>
      </c>
      <c r="D18" s="41">
        <f>SUM(D8:D17)</f>
        <v>6111.93</v>
      </c>
      <c r="E18" s="41">
        <f>SUM(E8:E17)</f>
        <v>32787.69</v>
      </c>
      <c r="F18" s="41">
        <f>SUM(F8:F17)</f>
        <v>0</v>
      </c>
      <c r="G18" s="41">
        <f>SUM(G8:G17)</f>
        <v>88422.57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-33107.15</v>
      </c>
      <c r="D21" s="95">
        <f>'DOE25'!G22</f>
        <v>-27913.949999999997</v>
      </c>
      <c r="E21" s="95">
        <f>'DOE25'!H22</f>
        <v>-62066.12</v>
      </c>
      <c r="F21" s="95">
        <f>'DOE25'!I22</f>
        <v>-14410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26092.57</v>
      </c>
      <c r="D23" s="95">
        <f>'DOE25'!G24</f>
        <v>104.34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49958.2</v>
      </c>
      <c r="D27" s="95">
        <f>'DOE25'!G28</f>
        <v>543.96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3287.75</v>
      </c>
      <c r="D30" s="95">
        <f>'DOE25'!G31</f>
        <v>9106.5299999999988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46231.369999999995</v>
      </c>
      <c r="D31" s="41">
        <f>SUM(D21:D30)</f>
        <v>-18159.12</v>
      </c>
      <c r="E31" s="41">
        <f>SUM(E21:E30)</f>
        <v>-62066.12</v>
      </c>
      <c r="F31" s="41">
        <f>SUM(F21:F30)</f>
        <v>-14410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11940.28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29528.959999999999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94853.81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331272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14410</v>
      </c>
      <c r="G47" s="95">
        <f>'DOE25'!J48</f>
        <v>88422.57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24271.05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419241.01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791982.25</v>
      </c>
      <c r="D50" s="41">
        <f>SUM(D34:D49)</f>
        <v>24271.05</v>
      </c>
      <c r="E50" s="41">
        <f>SUM(E34:E49)</f>
        <v>94853.81</v>
      </c>
      <c r="F50" s="41">
        <f>SUM(F34:F49)</f>
        <v>14410</v>
      </c>
      <c r="G50" s="41">
        <f>SUM(G34:G49)</f>
        <v>88422.57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838213.62</v>
      </c>
      <c r="D51" s="41">
        <f>D50+D31</f>
        <v>6111.93</v>
      </c>
      <c r="E51" s="41">
        <f>E50+E31</f>
        <v>32787.689999999995</v>
      </c>
      <c r="F51" s="41">
        <f>F50+F31</f>
        <v>0</v>
      </c>
      <c r="G51" s="41">
        <f>G50+G31</f>
        <v>88422.57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16982792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4670800.2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11434.9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3138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462113.72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308972.39</v>
      </c>
      <c r="D61" s="95">
        <f>SUM('DOE25'!G98:G110)</f>
        <v>7746.96</v>
      </c>
      <c r="E61" s="95">
        <f>SUM('DOE25'!H98:H110)</f>
        <v>285275.75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4991207.49</v>
      </c>
      <c r="D62" s="130">
        <f>SUM(D57:D61)</f>
        <v>469860.68</v>
      </c>
      <c r="E62" s="130">
        <f>SUM(E57:E61)</f>
        <v>285275.75</v>
      </c>
      <c r="F62" s="130">
        <f>SUM(F57:F61)</f>
        <v>0</v>
      </c>
      <c r="G62" s="130">
        <f>SUM(G57:G61)</f>
        <v>3138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21973999.490000002</v>
      </c>
      <c r="D63" s="22">
        <f>D56+D62</f>
        <v>469860.68</v>
      </c>
      <c r="E63" s="22">
        <f>E56+E62</f>
        <v>285275.75</v>
      </c>
      <c r="F63" s="22">
        <f>F56+F62</f>
        <v>0</v>
      </c>
      <c r="G63" s="22">
        <f>G56+G62</f>
        <v>3138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2729632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2729632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444639.59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32924.31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477563.9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3207195.9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216080.53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0</v>
      </c>
      <c r="D91" s="131">
        <f>SUM(D85:D90)</f>
        <v>0</v>
      </c>
      <c r="E91" s="131">
        <f>SUM(E85:E90)</f>
        <v>216080.53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55774.07</v>
      </c>
      <c r="E96" s="95">
        <f>'DOE25'!H179</f>
        <v>0</v>
      </c>
      <c r="F96" s="95">
        <f>'DOE25'!I179</f>
        <v>230608.07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55774.07</v>
      </c>
      <c r="E103" s="86">
        <f>SUM(E93:E102)</f>
        <v>0</v>
      </c>
      <c r="F103" s="86">
        <f>SUM(F93:F102)</f>
        <v>230608.07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25181195.390000001</v>
      </c>
      <c r="D104" s="86">
        <f>D63+D81+D91+D103</f>
        <v>525634.75</v>
      </c>
      <c r="E104" s="86">
        <f>E63+E81+E91+E103</f>
        <v>501356.28</v>
      </c>
      <c r="F104" s="86">
        <f>F63+F81+F91+F103</f>
        <v>230608.07</v>
      </c>
      <c r="G104" s="86">
        <f>G63+G81+G103</f>
        <v>3138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10487952.350000001</v>
      </c>
      <c r="D109" s="24" t="s">
        <v>288</v>
      </c>
      <c r="E109" s="95">
        <f>('DOE25'!L276)+('DOE25'!L295)+('DOE25'!L314)</f>
        <v>309971.71000000002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2839756.1700000004</v>
      </c>
      <c r="D110" s="24" t="s">
        <v>288</v>
      </c>
      <c r="E110" s="95">
        <f>('DOE25'!L277)+('DOE25'!L296)+('DOE25'!L315)</f>
        <v>188839.06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53334.6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826970.65999999992</v>
      </c>
      <c r="D112" s="24" t="s">
        <v>288</v>
      </c>
      <c r="E112" s="95">
        <f>+('DOE25'!L279)+('DOE25'!L298)+('DOE25'!L317)</f>
        <v>13930.43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14208013.780000001</v>
      </c>
      <c r="D115" s="86">
        <f>SUM(D109:D114)</f>
        <v>0</v>
      </c>
      <c r="E115" s="86">
        <f>SUM(E109:E114)</f>
        <v>512741.2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1302312.48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647867.3899999999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945235.62000000011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1778146.94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1905838.23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219361.05</v>
      </c>
      <c r="D124" s="24" t="s">
        <v>288</v>
      </c>
      <c r="E124" s="95">
        <f>+('DOE25'!L287)+('DOE25'!L306)+('DOE25'!L325)</f>
        <v>2155.56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501354.9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6798761.71</v>
      </c>
      <c r="D128" s="86">
        <f>SUM(D118:D127)</f>
        <v>501354.9</v>
      </c>
      <c r="E128" s="86">
        <f>SUM(E118:E127)</f>
        <v>2155.56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155172.78</v>
      </c>
      <c r="D130" s="24" t="s">
        <v>288</v>
      </c>
      <c r="E130" s="129">
        <f>'DOE25'!L336</f>
        <v>0</v>
      </c>
      <c r="F130" s="129">
        <f>SUM('DOE25'!L374:'DOE25'!L380)</f>
        <v>99173.86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1996231.26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1483577.18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369</v>
      </c>
    </row>
    <row r="135" spans="1:7" x14ac:dyDescent="0.2">
      <c r="A135" t="s">
        <v>233</v>
      </c>
      <c r="B135" s="32" t="s">
        <v>234</v>
      </c>
      <c r="C135" s="95">
        <f>'DOE25'!L263</f>
        <v>55774.07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230608.07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3138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-3138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3921363.3599999994</v>
      </c>
      <c r="D144" s="141">
        <f>SUM(D130:D143)</f>
        <v>0</v>
      </c>
      <c r="E144" s="141">
        <f>SUM(E130:E143)</f>
        <v>0</v>
      </c>
      <c r="F144" s="141">
        <f>SUM(F130:F143)</f>
        <v>99173.86</v>
      </c>
      <c r="G144" s="141">
        <f>SUM(G130:G143)</f>
        <v>369</v>
      </c>
    </row>
    <row r="145" spans="1:9" ht="12.75" thickTop="1" thickBot="1" x14ac:dyDescent="0.25">
      <c r="A145" s="33" t="s">
        <v>244</v>
      </c>
      <c r="C145" s="86">
        <f>(C115+C128+C144)</f>
        <v>24928138.850000001</v>
      </c>
      <c r="D145" s="86">
        <f>(D115+D128+D144)</f>
        <v>501354.9</v>
      </c>
      <c r="E145" s="86">
        <f>(E115+E128+E144)</f>
        <v>514896.76</v>
      </c>
      <c r="F145" s="86">
        <f>(F115+F128+F144)</f>
        <v>99173.86</v>
      </c>
      <c r="G145" s="86">
        <f>(G115+G128+G144)</f>
        <v>369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2.6626726576801463E-4</v>
      </c>
      <c r="E152" s="152">
        <f>'DOE25'!I491</f>
        <v>2.6653339996668331E-4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2532900</v>
      </c>
      <c r="C154" s="137">
        <f>'DOE25'!G493</f>
        <v>4000000</v>
      </c>
      <c r="D154" s="137">
        <f>'DOE25'!H493</f>
        <v>38460936</v>
      </c>
      <c r="E154" s="137">
        <f>'DOE25'!I493</f>
        <v>1100000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4.08</v>
      </c>
      <c r="C155" s="137">
        <f>'DOE25'!G494</f>
        <v>4.47</v>
      </c>
      <c r="D155" s="137">
        <f>'DOE25'!H494</f>
        <v>4.62</v>
      </c>
      <c r="E155" s="137">
        <f>'DOE25'!I494</f>
        <v>4.71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1125155</v>
      </c>
      <c r="C156" s="137">
        <f>'DOE25'!G495</f>
        <v>1374468</v>
      </c>
      <c r="D156" s="137">
        <f>'DOE25'!H495</f>
        <v>10912138</v>
      </c>
      <c r="E156" s="137">
        <f>'DOE25'!I495</f>
        <v>330000</v>
      </c>
      <c r="F156" s="137">
        <f>'DOE25'!J495</f>
        <v>0</v>
      </c>
      <c r="G156" s="138">
        <f>SUM(B156:F156)</f>
        <v>13741761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124631.58</v>
      </c>
      <c r="C158" s="137">
        <f>'DOE25'!G497</f>
        <v>182154.87</v>
      </c>
      <c r="D158" s="137">
        <f>'DOE25'!H497</f>
        <v>1595109.62</v>
      </c>
      <c r="E158" s="137">
        <f>'DOE25'!I497</f>
        <v>55000</v>
      </c>
      <c r="F158" s="137">
        <f>'DOE25'!J497</f>
        <v>0</v>
      </c>
      <c r="G158" s="138">
        <f t="shared" si="0"/>
        <v>1956896.07</v>
      </c>
    </row>
    <row r="159" spans="1:9" x14ac:dyDescent="0.2">
      <c r="A159" s="22" t="s">
        <v>35</v>
      </c>
      <c r="B159" s="137">
        <f>'DOE25'!F498</f>
        <v>1000523</v>
      </c>
      <c r="C159" s="137">
        <f>'DOE25'!G498</f>
        <v>1192313</v>
      </c>
      <c r="D159" s="137">
        <f>'DOE25'!H498</f>
        <v>9317029</v>
      </c>
      <c r="E159" s="137">
        <f>'DOE25'!I498</f>
        <v>275000</v>
      </c>
      <c r="F159" s="137">
        <f>'DOE25'!J498</f>
        <v>0</v>
      </c>
      <c r="G159" s="138">
        <f t="shared" si="0"/>
        <v>11784865</v>
      </c>
    </row>
    <row r="160" spans="1:9" x14ac:dyDescent="0.2">
      <c r="A160" s="22" t="s">
        <v>36</v>
      </c>
      <c r="B160" s="137">
        <f>'DOE25'!F499</f>
        <v>856690</v>
      </c>
      <c r="C160" s="137">
        <f>'DOE25'!G499</f>
        <v>1267850</v>
      </c>
      <c r="D160" s="137">
        <f>'DOE25'!H499</f>
        <v>11184426</v>
      </c>
      <c r="E160" s="137">
        <f>'DOE25'!I499</f>
        <v>34348</v>
      </c>
      <c r="F160" s="137">
        <f>'DOE25'!J499</f>
        <v>0</v>
      </c>
      <c r="G160" s="138">
        <f t="shared" si="0"/>
        <v>13343314</v>
      </c>
    </row>
    <row r="161" spans="1:7" x14ac:dyDescent="0.2">
      <c r="A161" s="22" t="s">
        <v>37</v>
      </c>
      <c r="B161" s="137">
        <f>'DOE25'!F500</f>
        <v>1857213</v>
      </c>
      <c r="C161" s="137">
        <f>'DOE25'!G500</f>
        <v>2460163</v>
      </c>
      <c r="D161" s="137">
        <f>'DOE25'!H500</f>
        <v>20501455</v>
      </c>
      <c r="E161" s="137">
        <f>'DOE25'!I500</f>
        <v>309348</v>
      </c>
      <c r="F161" s="137">
        <f>'DOE25'!J500</f>
        <v>0</v>
      </c>
      <c r="G161" s="138">
        <f t="shared" si="0"/>
        <v>25128179</v>
      </c>
    </row>
    <row r="162" spans="1:7" x14ac:dyDescent="0.2">
      <c r="A162" s="22" t="s">
        <v>38</v>
      </c>
      <c r="B162" s="137">
        <f>'DOE25'!F501</f>
        <v>121898</v>
      </c>
      <c r="C162" s="137">
        <f>'DOE25'!G501</f>
        <v>172346</v>
      </c>
      <c r="D162" s="137">
        <f>'DOE25'!H501</f>
        <v>1524407</v>
      </c>
      <c r="E162" s="137">
        <f>'DOE25'!I501</f>
        <v>55000</v>
      </c>
      <c r="F162" s="137">
        <f>'DOE25'!J501</f>
        <v>0</v>
      </c>
      <c r="G162" s="138">
        <f t="shared" si="0"/>
        <v>1873651</v>
      </c>
    </row>
    <row r="163" spans="1:7" x14ac:dyDescent="0.2">
      <c r="A163" s="22" t="s">
        <v>39</v>
      </c>
      <c r="B163" s="137">
        <f>'DOE25'!F502</f>
        <v>72608</v>
      </c>
      <c r="C163" s="137">
        <f>'DOE25'!G502</f>
        <v>132923</v>
      </c>
      <c r="D163" s="137">
        <f>'DOE25'!H502</f>
        <v>1361558</v>
      </c>
      <c r="E163" s="137">
        <f>'DOE25'!I502</f>
        <v>12348</v>
      </c>
      <c r="F163" s="137">
        <f>'DOE25'!J502</f>
        <v>0</v>
      </c>
      <c r="G163" s="138">
        <f t="shared" si="0"/>
        <v>1579437</v>
      </c>
    </row>
    <row r="164" spans="1:7" x14ac:dyDescent="0.2">
      <c r="A164" s="22" t="s">
        <v>246</v>
      </c>
      <c r="B164" s="137">
        <f>'DOE25'!F503</f>
        <v>194506</v>
      </c>
      <c r="C164" s="137">
        <f>'DOE25'!G503</f>
        <v>305269</v>
      </c>
      <c r="D164" s="137">
        <f>'DOE25'!H503</f>
        <v>2885965</v>
      </c>
      <c r="E164" s="137">
        <f>'DOE25'!I503</f>
        <v>67348</v>
      </c>
      <c r="F164" s="137">
        <f>'DOE25'!J503</f>
        <v>0</v>
      </c>
      <c r="G164" s="138">
        <f t="shared" si="0"/>
        <v>3453088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Dresden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703</v>
      </c>
      <c r="C5" s="179">
        <f>IF('DOE25'!G665+'DOE25'!G670=0,0,ROUND('DOE25'!G672,0))</f>
        <v>18953</v>
      </c>
    </row>
    <row r="6" spans="1:4" x14ac:dyDescent="0.2">
      <c r="B6" t="s">
        <v>62</v>
      </c>
      <c r="C6" s="179">
        <f>IF('DOE25'!H665+'DOE25'!H670=0,0,ROUND('DOE25'!H672,0))</f>
        <v>18389</v>
      </c>
    </row>
    <row r="7" spans="1:4" x14ac:dyDescent="0.2">
      <c r="B7" t="s">
        <v>704</v>
      </c>
      <c r="C7" s="179">
        <f>IF('DOE25'!I665+'DOE25'!I670=0,0,ROUND('DOE25'!I672,0))</f>
        <v>18577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10797924</v>
      </c>
      <c r="D10" s="182">
        <f>ROUND((C10/$C$28)*100,1)</f>
        <v>46.9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3028595</v>
      </c>
      <c r="D11" s="182">
        <f>ROUND((C11/$C$28)*100,1)</f>
        <v>13.1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53335</v>
      </c>
      <c r="D12" s="182">
        <f>ROUND((C12/$C$28)*100,1)</f>
        <v>0.2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840901</v>
      </c>
      <c r="D13" s="182">
        <f>ROUND((C13/$C$28)*100,1)</f>
        <v>3.7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1302312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647867</v>
      </c>
      <c r="D16" s="182">
        <f t="shared" si="0"/>
        <v>2.8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945236</v>
      </c>
      <c r="D17" s="182">
        <f t="shared" si="0"/>
        <v>4.0999999999999996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1778147</v>
      </c>
      <c r="D18" s="182">
        <f t="shared" si="0"/>
        <v>7.7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1905838</v>
      </c>
      <c r="D20" s="182">
        <f t="shared" si="0"/>
        <v>8.3000000000000007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221517</v>
      </c>
      <c r="D21" s="182">
        <f t="shared" si="0"/>
        <v>1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1483577</v>
      </c>
      <c r="D25" s="182">
        <f t="shared" si="0"/>
        <v>6.4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31494.320000000007</v>
      </c>
      <c r="D27" s="182">
        <f t="shared" si="0"/>
        <v>0.1</v>
      </c>
    </row>
    <row r="28" spans="1:4" x14ac:dyDescent="0.2">
      <c r="B28" s="187" t="s">
        <v>722</v>
      </c>
      <c r="C28" s="180">
        <f>SUM(C10:C27)</f>
        <v>23036743.32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254347</v>
      </c>
    </row>
    <row r="30" spans="1:4" x14ac:dyDescent="0.2">
      <c r="B30" s="187" t="s">
        <v>728</v>
      </c>
      <c r="C30" s="180">
        <f>SUM(C28:C29)</f>
        <v>23291090.32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1996231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16982792</v>
      </c>
      <c r="D35" s="182">
        <f t="shared" ref="D35:D40" si="1">ROUND((C35/$C$41)*100,1)</f>
        <v>66.099999999999994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5279621.2399999984</v>
      </c>
      <c r="D36" s="182">
        <f t="shared" si="1"/>
        <v>20.6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2729632</v>
      </c>
      <c r="D37" s="182">
        <f t="shared" si="1"/>
        <v>10.6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477564</v>
      </c>
      <c r="D38" s="182">
        <f t="shared" si="1"/>
        <v>1.9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216081</v>
      </c>
      <c r="D39" s="182">
        <f t="shared" si="1"/>
        <v>0.8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25685690.239999998</v>
      </c>
      <c r="D41" s="184">
        <f>SUM(D35:D40)</f>
        <v>99.999999999999986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Dresden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2017-06-15T14:49:11Z</cp:lastPrinted>
  <dcterms:created xsi:type="dcterms:W3CDTF">1997-12-04T19:04:30Z</dcterms:created>
  <dcterms:modified xsi:type="dcterms:W3CDTF">2018-03-23T13:01:08Z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