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 iterateDelta="4.1486142249243762E-271"/>
</workbook>
</file>

<file path=xl/calcChain.xml><?xml version="1.0" encoding="utf-8"?>
<calcChain xmlns="http://schemas.openxmlformats.org/spreadsheetml/2006/main">
  <c r="F441" i="1" l="1"/>
  <c r="F11" i="1"/>
  <c r="F50" i="1"/>
  <c r="J96" i="1" l="1"/>
  <c r="H400" i="1"/>
  <c r="J465" i="1"/>
  <c r="C10" i="12" l="1"/>
  <c r="B10" i="12"/>
  <c r="B19" i="12" l="1"/>
  <c r="B20" i="12"/>
  <c r="F57" i="1" l="1"/>
  <c r="H526" i="1" l="1"/>
  <c r="G526" i="1"/>
  <c r="I526" i="1"/>
  <c r="F526" i="1"/>
  <c r="H528" i="1"/>
  <c r="H527" i="1"/>
  <c r="K523" i="1" l="1"/>
  <c r="J523" i="1"/>
  <c r="I523" i="1"/>
  <c r="H523" i="1"/>
  <c r="G523" i="1"/>
  <c r="F523" i="1"/>
  <c r="K522" i="1"/>
  <c r="J522" i="1"/>
  <c r="I522" i="1"/>
  <c r="H522" i="1"/>
  <c r="G522" i="1"/>
  <c r="F522" i="1"/>
  <c r="K521" i="1"/>
  <c r="J521" i="1"/>
  <c r="I521" i="1"/>
  <c r="H521" i="1"/>
  <c r="G521" i="1"/>
  <c r="F521" i="1"/>
  <c r="F22" i="1"/>
  <c r="H208" i="1"/>
  <c r="I207" i="1"/>
  <c r="H207" i="1"/>
  <c r="F207" i="1"/>
  <c r="H205" i="1"/>
  <c r="F205" i="1"/>
  <c r="H204" i="1"/>
  <c r="G204" i="1"/>
  <c r="F204" i="1"/>
  <c r="I204" i="1"/>
  <c r="J203" i="1"/>
  <c r="I203" i="1"/>
  <c r="H203" i="1"/>
  <c r="G203" i="1"/>
  <c r="K203" i="1"/>
  <c r="F203" i="1"/>
  <c r="H202" i="1"/>
  <c r="G202" i="1"/>
  <c r="I202" i="1"/>
  <c r="F202" i="1"/>
  <c r="H238" i="1"/>
  <c r="H220" i="1"/>
  <c r="K202" i="1"/>
  <c r="G200" i="1"/>
  <c r="H200" i="1"/>
  <c r="F200" i="1"/>
  <c r="K200" i="1"/>
  <c r="G198" i="1"/>
  <c r="J198" i="1"/>
  <c r="I198" i="1"/>
  <c r="H198" i="1"/>
  <c r="F198" i="1"/>
  <c r="G197" i="1"/>
  <c r="I197" i="1"/>
  <c r="H197" i="1"/>
  <c r="F197" i="1"/>
  <c r="F117" i="1"/>
  <c r="F110" i="1"/>
  <c r="G459" i="1"/>
  <c r="F459" i="1"/>
  <c r="H396" i="1"/>
  <c r="H22" i="1"/>
  <c r="H472" i="1"/>
  <c r="K277" i="1"/>
  <c r="G277" i="1"/>
  <c r="F277" i="1"/>
  <c r="K276" i="1"/>
  <c r="I281" i="1"/>
  <c r="G276" i="1"/>
  <c r="F276" i="1"/>
  <c r="G282" i="1"/>
  <c r="F282" i="1"/>
  <c r="H282" i="1"/>
  <c r="H154" i="1"/>
  <c r="H155" i="1"/>
  <c r="G472" i="1"/>
  <c r="F367" i="1"/>
  <c r="I358" i="1"/>
  <c r="H358" i="1"/>
  <c r="G132" i="1"/>
  <c r="C45" i="2" l="1"/>
  <c r="G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C122" i="2" s="1"/>
  <c r="L224" i="1"/>
  <c r="L242" i="1"/>
  <c r="F16" i="13"/>
  <c r="G16" i="13"/>
  <c r="E16" i="13" s="1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C118" i="2" s="1"/>
  <c r="L220" i="1"/>
  <c r="L238" i="1"/>
  <c r="F7" i="13"/>
  <c r="G7" i="13"/>
  <c r="D7" i="13" s="1"/>
  <c r="C7" i="13" s="1"/>
  <c r="L203" i="1"/>
  <c r="L221" i="1"/>
  <c r="L239" i="1"/>
  <c r="C119" i="2" s="1"/>
  <c r="F12" i="13"/>
  <c r="G12" i="13"/>
  <c r="L205" i="1"/>
  <c r="L223" i="1"/>
  <c r="L241" i="1"/>
  <c r="D12" i="13" s="1"/>
  <c r="C12" i="13" s="1"/>
  <c r="F14" i="13"/>
  <c r="G14" i="13"/>
  <c r="L207" i="1"/>
  <c r="L225" i="1"/>
  <c r="L243" i="1"/>
  <c r="F15" i="13"/>
  <c r="G15" i="13"/>
  <c r="L208" i="1"/>
  <c r="L226" i="1"/>
  <c r="L244" i="1"/>
  <c r="H662" i="1" s="1"/>
  <c r="F17" i="13"/>
  <c r="G17" i="13"/>
  <c r="D17" i="13" s="1"/>
  <c r="C17" i="13" s="1"/>
  <c r="L251" i="1"/>
  <c r="F18" i="13"/>
  <c r="G18" i="13"/>
  <c r="L252" i="1"/>
  <c r="D18" i="13" s="1"/>
  <c r="C18" i="13" s="1"/>
  <c r="F19" i="13"/>
  <c r="G19" i="13"/>
  <c r="L253" i="1"/>
  <c r="F29" i="13"/>
  <c r="G29" i="13"/>
  <c r="L358" i="1"/>
  <c r="L359" i="1"/>
  <c r="L360" i="1"/>
  <c r="D29" i="13" s="1"/>
  <c r="C29" i="13" s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309" i="1" s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E125" i="2" s="1"/>
  <c r="L333" i="1"/>
  <c r="E114" i="2" s="1"/>
  <c r="L334" i="1"/>
  <c r="L335" i="1"/>
  <c r="L260" i="1"/>
  <c r="C32" i="10" s="1"/>
  <c r="L261" i="1"/>
  <c r="C25" i="10" s="1"/>
  <c r="L341" i="1"/>
  <c r="L342" i="1"/>
  <c r="L255" i="1"/>
  <c r="C130" i="2" s="1"/>
  <c r="L336" i="1"/>
  <c r="E130" i="2" s="1"/>
  <c r="C11" i="13"/>
  <c r="C10" i="13"/>
  <c r="C9" i="13"/>
  <c r="L361" i="1"/>
  <c r="B4" i="12"/>
  <c r="B36" i="12"/>
  <c r="C36" i="12"/>
  <c r="B40" i="12"/>
  <c r="A40" i="12" s="1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93" i="1" s="1"/>
  <c r="C138" i="2" s="1"/>
  <c r="L389" i="1"/>
  <c r="L390" i="1"/>
  <c r="L391" i="1"/>
  <c r="L392" i="1"/>
  <c r="L395" i="1"/>
  <c r="L396" i="1"/>
  <c r="L397" i="1"/>
  <c r="L398" i="1"/>
  <c r="L401" i="1" s="1"/>
  <c r="C139" i="2" s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56" i="2" s="1"/>
  <c r="F79" i="1"/>
  <c r="C57" i="2" s="1"/>
  <c r="F94" i="1"/>
  <c r="F111" i="1"/>
  <c r="G111" i="1"/>
  <c r="H79" i="1"/>
  <c r="E57" i="2" s="1"/>
  <c r="H94" i="1"/>
  <c r="H111" i="1"/>
  <c r="I111" i="1"/>
  <c r="J111" i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E85" i="2" s="1"/>
  <c r="H162" i="1"/>
  <c r="H169" i="1" s="1"/>
  <c r="I147" i="1"/>
  <c r="I162" i="1"/>
  <c r="I169" i="1" s="1"/>
  <c r="C11" i="10"/>
  <c r="C13" i="10"/>
  <c r="L250" i="1"/>
  <c r="L332" i="1"/>
  <c r="E113" i="2" s="1"/>
  <c r="L254" i="1"/>
  <c r="L268" i="1"/>
  <c r="C142" i="2" s="1"/>
  <c r="L269" i="1"/>
  <c r="L349" i="1"/>
  <c r="L350" i="1"/>
  <c r="I665" i="1"/>
  <c r="I670" i="1"/>
  <c r="G662" i="1"/>
  <c r="I669" i="1"/>
  <c r="C42" i="10"/>
  <c r="L374" i="1"/>
  <c r="L375" i="1"/>
  <c r="L376" i="1"/>
  <c r="L377" i="1"/>
  <c r="L378" i="1"/>
  <c r="L379" i="1"/>
  <c r="L380" i="1"/>
  <c r="B2" i="10"/>
  <c r="L344" i="1"/>
  <c r="E134" i="2" s="1"/>
  <c r="L345" i="1"/>
  <c r="E135" i="2" s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G552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D18" i="2" s="1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D56" i="2"/>
  <c r="E56" i="2"/>
  <c r="C58" i="2"/>
  <c r="E58" i="2"/>
  <c r="C59" i="2"/>
  <c r="D59" i="2"/>
  <c r="E59" i="2"/>
  <c r="F59" i="2"/>
  <c r="D60" i="2"/>
  <c r="C61" i="2"/>
  <c r="D61" i="2"/>
  <c r="D62" i="2" s="1"/>
  <c r="D63" i="2" s="1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F78" i="2" s="1"/>
  <c r="G77" i="2"/>
  <c r="G78" i="2" s="1"/>
  <c r="C79" i="2"/>
  <c r="D79" i="2"/>
  <c r="E79" i="2"/>
  <c r="C80" i="2"/>
  <c r="E80" i="2"/>
  <c r="C85" i="2"/>
  <c r="C91" i="2" s="1"/>
  <c r="D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10" i="2"/>
  <c r="E111" i="2"/>
  <c r="C112" i="2"/>
  <c r="C113" i="2"/>
  <c r="D115" i="2"/>
  <c r="F115" i="2"/>
  <c r="G115" i="2"/>
  <c r="E120" i="2"/>
  <c r="E123" i="2"/>
  <c r="E124" i="2"/>
  <c r="C125" i="2"/>
  <c r="F128" i="2"/>
  <c r="G128" i="2"/>
  <c r="D134" i="2"/>
  <c r="D144" i="2" s="1"/>
  <c r="F134" i="2"/>
  <c r="K419" i="1"/>
  <c r="K427" i="1"/>
  <c r="K433" i="1"/>
  <c r="L263" i="1"/>
  <c r="C135" i="2" s="1"/>
  <c r="L264" i="1"/>
  <c r="C136" i="2" s="1"/>
  <c r="L265" i="1"/>
  <c r="C137" i="2" s="1"/>
  <c r="E137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G620" i="1" s="1"/>
  <c r="F32" i="1"/>
  <c r="G32" i="1"/>
  <c r="G52" i="1" s="1"/>
  <c r="H618" i="1" s="1"/>
  <c r="H32" i="1"/>
  <c r="I32" i="1"/>
  <c r="H51" i="1"/>
  <c r="G624" i="1" s="1"/>
  <c r="I51" i="1"/>
  <c r="F177" i="1"/>
  <c r="F192" i="1" s="1"/>
  <c r="I177" i="1"/>
  <c r="F183" i="1"/>
  <c r="G183" i="1"/>
  <c r="H183" i="1"/>
  <c r="I183" i="1"/>
  <c r="J183" i="1"/>
  <c r="J192" i="1" s="1"/>
  <c r="F188" i="1"/>
  <c r="G188" i="1"/>
  <c r="H188" i="1"/>
  <c r="H192" i="1" s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H634" i="1" s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G408" i="1" s="1"/>
  <c r="H645" i="1" s="1"/>
  <c r="H407" i="1"/>
  <c r="I407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G641" i="1" s="1"/>
  <c r="F452" i="1"/>
  <c r="G452" i="1"/>
  <c r="H452" i="1"/>
  <c r="F460" i="1"/>
  <c r="G460" i="1"/>
  <c r="G461" i="1" s="1"/>
  <c r="H640" i="1" s="1"/>
  <c r="H460" i="1"/>
  <c r="I460" i="1"/>
  <c r="F461" i="1"/>
  <c r="H461" i="1"/>
  <c r="H641" i="1" s="1"/>
  <c r="I470" i="1"/>
  <c r="G474" i="1"/>
  <c r="H474" i="1"/>
  <c r="I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23" i="1"/>
  <c r="H630" i="1"/>
  <c r="H633" i="1"/>
  <c r="H635" i="1"/>
  <c r="H636" i="1"/>
  <c r="G639" i="1"/>
  <c r="H639" i="1"/>
  <c r="G643" i="1"/>
  <c r="G644" i="1"/>
  <c r="G645" i="1"/>
  <c r="G650" i="1"/>
  <c r="G652" i="1"/>
  <c r="H652" i="1"/>
  <c r="G653" i="1"/>
  <c r="H653" i="1"/>
  <c r="G654" i="1"/>
  <c r="H654" i="1"/>
  <c r="H655" i="1"/>
  <c r="D91" i="2"/>
  <c r="G62" i="2"/>
  <c r="D19" i="13"/>
  <c r="C19" i="13" s="1"/>
  <c r="L419" i="1"/>
  <c r="G338" i="1"/>
  <c r="G352" i="1" s="1"/>
  <c r="J140" i="1"/>
  <c r="G22" i="2"/>
  <c r="H140" i="1"/>
  <c r="F552" i="1"/>
  <c r="L570" i="1"/>
  <c r="G36" i="2"/>
  <c r="A13" i="12" l="1"/>
  <c r="A31" i="12"/>
  <c r="K605" i="1"/>
  <c r="G648" i="1" s="1"/>
  <c r="K598" i="1"/>
  <c r="G647" i="1" s="1"/>
  <c r="L565" i="1"/>
  <c r="H571" i="1"/>
  <c r="K571" i="1"/>
  <c r="F571" i="1"/>
  <c r="I571" i="1"/>
  <c r="J571" i="1"/>
  <c r="L560" i="1"/>
  <c r="L571" i="1" s="1"/>
  <c r="J545" i="1"/>
  <c r="K550" i="1"/>
  <c r="L534" i="1"/>
  <c r="H552" i="1"/>
  <c r="H545" i="1"/>
  <c r="I545" i="1"/>
  <c r="J552" i="1"/>
  <c r="L544" i="1"/>
  <c r="K551" i="1"/>
  <c r="K545" i="1"/>
  <c r="G545" i="1"/>
  <c r="L524" i="1"/>
  <c r="K549" i="1"/>
  <c r="K500" i="1"/>
  <c r="G157" i="2"/>
  <c r="L256" i="1"/>
  <c r="C114" i="2"/>
  <c r="C18" i="2"/>
  <c r="J655" i="1"/>
  <c r="C26" i="10"/>
  <c r="C132" i="2"/>
  <c r="L270" i="1"/>
  <c r="C21" i="10"/>
  <c r="G651" i="1"/>
  <c r="J651" i="1" s="1"/>
  <c r="D14" i="13"/>
  <c r="C14" i="13" s="1"/>
  <c r="C20" i="10"/>
  <c r="C123" i="2"/>
  <c r="C121" i="2"/>
  <c r="L247" i="1"/>
  <c r="H660" i="1" s="1"/>
  <c r="C17" i="10"/>
  <c r="C16" i="10"/>
  <c r="L229" i="1"/>
  <c r="G660" i="1" s="1"/>
  <c r="I257" i="1"/>
  <c r="I271" i="1" s="1"/>
  <c r="J257" i="1"/>
  <c r="J271" i="1" s="1"/>
  <c r="C12" i="10"/>
  <c r="G257" i="1"/>
  <c r="G271" i="1" s="1"/>
  <c r="F257" i="1"/>
  <c r="F271" i="1" s="1"/>
  <c r="H257" i="1"/>
  <c r="H271" i="1" s="1"/>
  <c r="L211" i="1"/>
  <c r="C110" i="2"/>
  <c r="D5" i="13"/>
  <c r="C5" i="13" s="1"/>
  <c r="K257" i="1"/>
  <c r="K271" i="1" s="1"/>
  <c r="C78" i="2"/>
  <c r="F112" i="1"/>
  <c r="C70" i="2"/>
  <c r="C81" i="2" s="1"/>
  <c r="G81" i="2"/>
  <c r="I476" i="1"/>
  <c r="H625" i="1" s="1"/>
  <c r="J640" i="1"/>
  <c r="I452" i="1"/>
  <c r="I461" i="1" s="1"/>
  <c r="H642" i="1" s="1"/>
  <c r="J642" i="1" s="1"/>
  <c r="J641" i="1"/>
  <c r="I446" i="1"/>
  <c r="G642" i="1" s="1"/>
  <c r="L433" i="1"/>
  <c r="L427" i="1"/>
  <c r="H408" i="1"/>
  <c r="H644" i="1" s="1"/>
  <c r="F408" i="1"/>
  <c r="H643" i="1" s="1"/>
  <c r="I408" i="1"/>
  <c r="J643" i="1"/>
  <c r="J639" i="1"/>
  <c r="J645" i="1"/>
  <c r="J644" i="1"/>
  <c r="J112" i="1"/>
  <c r="J193" i="1" s="1"/>
  <c r="F130" i="2"/>
  <c r="F144" i="2" s="1"/>
  <c r="F145" i="2" s="1"/>
  <c r="I112" i="1"/>
  <c r="I52" i="1"/>
  <c r="H620" i="1" s="1"/>
  <c r="F18" i="2"/>
  <c r="H52" i="1"/>
  <c r="H619" i="1" s="1"/>
  <c r="J619" i="1" s="1"/>
  <c r="E31" i="2"/>
  <c r="E142" i="2"/>
  <c r="H338" i="1"/>
  <c r="H352" i="1" s="1"/>
  <c r="F22" i="13"/>
  <c r="C22" i="13" s="1"/>
  <c r="L328" i="1"/>
  <c r="E121" i="2"/>
  <c r="E122" i="2"/>
  <c r="E118" i="2"/>
  <c r="E128" i="2" s="1"/>
  <c r="E119" i="2"/>
  <c r="E112" i="2"/>
  <c r="C10" i="10"/>
  <c r="F338" i="1"/>
  <c r="F352" i="1" s="1"/>
  <c r="K338" i="1"/>
  <c r="K352" i="1" s="1"/>
  <c r="E103" i="2"/>
  <c r="E78" i="2"/>
  <c r="E62" i="2"/>
  <c r="E63" i="2" s="1"/>
  <c r="H112" i="1"/>
  <c r="D50" i="2"/>
  <c r="D31" i="2"/>
  <c r="J634" i="1"/>
  <c r="G661" i="1"/>
  <c r="L362" i="1"/>
  <c r="G635" i="1" s="1"/>
  <c r="J635" i="1" s="1"/>
  <c r="H661" i="1"/>
  <c r="G192" i="1"/>
  <c r="D81" i="2"/>
  <c r="C16" i="13"/>
  <c r="L290" i="1"/>
  <c r="L539" i="1"/>
  <c r="K503" i="1"/>
  <c r="E109" i="2"/>
  <c r="C62" i="2"/>
  <c r="F661" i="1"/>
  <c r="C19" i="10"/>
  <c r="C15" i="10"/>
  <c r="G112" i="1"/>
  <c r="E13" i="13"/>
  <c r="C13" i="13" s="1"/>
  <c r="C35" i="10"/>
  <c r="C29" i="10"/>
  <c r="I552" i="1"/>
  <c r="D6" i="13"/>
  <c r="C6" i="13" s="1"/>
  <c r="D15" i="13"/>
  <c r="C15" i="13" s="1"/>
  <c r="G649" i="1"/>
  <c r="J649" i="1" s="1"/>
  <c r="J338" i="1"/>
  <c r="J352" i="1" s="1"/>
  <c r="D127" i="2"/>
  <c r="D128" i="2" s="1"/>
  <c r="D145" i="2" s="1"/>
  <c r="C124" i="2"/>
  <c r="C120" i="2"/>
  <c r="C111" i="2"/>
  <c r="C56" i="2"/>
  <c r="F662" i="1"/>
  <c r="I662" i="1" s="1"/>
  <c r="C18" i="10"/>
  <c r="E8" i="13"/>
  <c r="C8" i="13" s="1"/>
  <c r="L382" i="1"/>
  <c r="G636" i="1" s="1"/>
  <c r="J636" i="1" s="1"/>
  <c r="H25" i="13"/>
  <c r="E81" i="2"/>
  <c r="F81" i="2"/>
  <c r="L351" i="1"/>
  <c r="H647" i="1"/>
  <c r="J647" i="1" s="1"/>
  <c r="G625" i="1"/>
  <c r="J625" i="1" s="1"/>
  <c r="L614" i="1"/>
  <c r="L529" i="1"/>
  <c r="L337" i="1"/>
  <c r="L338" i="1" s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F31" i="2"/>
  <c r="C31" i="2"/>
  <c r="E18" i="2"/>
  <c r="E144" i="2"/>
  <c r="F50" i="2"/>
  <c r="C24" i="10"/>
  <c r="G31" i="13"/>
  <c r="G33" i="13" s="1"/>
  <c r="I338" i="1"/>
  <c r="I352" i="1" s="1"/>
  <c r="J650" i="1"/>
  <c r="L407" i="1"/>
  <c r="C140" i="2" s="1"/>
  <c r="C141" i="2" s="1"/>
  <c r="C144" i="2" s="1"/>
  <c r="I192" i="1"/>
  <c r="E91" i="2"/>
  <c r="D51" i="2"/>
  <c r="J654" i="1"/>
  <c r="J653" i="1"/>
  <c r="G21" i="2"/>
  <c r="G31" i="2" s="1"/>
  <c r="J32" i="1"/>
  <c r="L434" i="1"/>
  <c r="J434" i="1"/>
  <c r="F434" i="1"/>
  <c r="K434" i="1"/>
  <c r="G134" i="2" s="1"/>
  <c r="G144" i="2" s="1"/>
  <c r="G145" i="2" s="1"/>
  <c r="F31" i="13"/>
  <c r="H193" i="1"/>
  <c r="G169" i="1"/>
  <c r="C39" i="10" s="1"/>
  <c r="G140" i="1"/>
  <c r="F140" i="1"/>
  <c r="F193" i="1" s="1"/>
  <c r="G63" i="2"/>
  <c r="J618" i="1"/>
  <c r="G42" i="2"/>
  <c r="J51" i="1"/>
  <c r="G16" i="2"/>
  <c r="G18" i="2" s="1"/>
  <c r="J19" i="1"/>
  <c r="G621" i="1" s="1"/>
  <c r="F545" i="1"/>
  <c r="H434" i="1"/>
  <c r="J620" i="1"/>
  <c r="D103" i="2"/>
  <c r="D104" i="2" s="1"/>
  <c r="I140" i="1"/>
  <c r="A22" i="12"/>
  <c r="G50" i="2"/>
  <c r="G51" i="2" s="1"/>
  <c r="J652" i="1"/>
  <c r="G571" i="1"/>
  <c r="I434" i="1"/>
  <c r="G434" i="1"/>
  <c r="I663" i="1"/>
  <c r="G627" i="1" l="1"/>
  <c r="F468" i="1"/>
  <c r="K552" i="1"/>
  <c r="L545" i="1"/>
  <c r="C115" i="2"/>
  <c r="F33" i="13"/>
  <c r="L257" i="1"/>
  <c r="L271" i="1" s="1"/>
  <c r="E33" i="13"/>
  <c r="D35" i="13" s="1"/>
  <c r="C128" i="2"/>
  <c r="C145" i="2" s="1"/>
  <c r="F660" i="1"/>
  <c r="F664" i="1" s="1"/>
  <c r="G629" i="1"/>
  <c r="H468" i="1"/>
  <c r="C63" i="2"/>
  <c r="C104" i="2" s="1"/>
  <c r="G646" i="1"/>
  <c r="J468" i="1"/>
  <c r="G638" i="1"/>
  <c r="J472" i="1"/>
  <c r="L408" i="1"/>
  <c r="G637" i="1" s="1"/>
  <c r="H646" i="1"/>
  <c r="I193" i="1"/>
  <c r="G630" i="1" s="1"/>
  <c r="J630" i="1" s="1"/>
  <c r="F104" i="2"/>
  <c r="F51" i="2"/>
  <c r="L352" i="1"/>
  <c r="G633" i="1" s="1"/>
  <c r="J633" i="1" s="1"/>
  <c r="E115" i="2"/>
  <c r="H648" i="1"/>
  <c r="J648" i="1" s="1"/>
  <c r="E145" i="2"/>
  <c r="E104" i="2"/>
  <c r="G664" i="1"/>
  <c r="G667" i="1" s="1"/>
  <c r="C27" i="10"/>
  <c r="C28" i="10" s="1"/>
  <c r="D19" i="10" s="1"/>
  <c r="I661" i="1"/>
  <c r="H664" i="1"/>
  <c r="C36" i="10"/>
  <c r="C25" i="13"/>
  <c r="H33" i="13"/>
  <c r="D31" i="13"/>
  <c r="C31" i="13" s="1"/>
  <c r="G104" i="2"/>
  <c r="G631" i="1"/>
  <c r="G193" i="1"/>
  <c r="G626" i="1"/>
  <c r="J52" i="1"/>
  <c r="H621" i="1" s="1"/>
  <c r="J621" i="1" s="1"/>
  <c r="C38" i="10"/>
  <c r="J646" i="1" l="1"/>
  <c r="F470" i="1"/>
  <c r="H627" i="1"/>
  <c r="J627" i="1"/>
  <c r="G632" i="1"/>
  <c r="F472" i="1"/>
  <c r="G672" i="1"/>
  <c r="C5" i="10" s="1"/>
  <c r="I660" i="1"/>
  <c r="I664" i="1" s="1"/>
  <c r="I672" i="1" s="1"/>
  <c r="C7" i="10" s="1"/>
  <c r="H629" i="1"/>
  <c r="H470" i="1"/>
  <c r="H476" i="1" s="1"/>
  <c r="H624" i="1" s="1"/>
  <c r="J624" i="1" s="1"/>
  <c r="J629" i="1"/>
  <c r="G628" i="1"/>
  <c r="G468" i="1"/>
  <c r="H631" i="1"/>
  <c r="J631" i="1" s="1"/>
  <c r="J470" i="1"/>
  <c r="H637" i="1"/>
  <c r="J637" i="1" s="1"/>
  <c r="J474" i="1"/>
  <c r="H638" i="1"/>
  <c r="J638" i="1"/>
  <c r="D33" i="13"/>
  <c r="D36" i="13" s="1"/>
  <c r="H667" i="1"/>
  <c r="H672" i="1"/>
  <c r="C6" i="10" s="1"/>
  <c r="D13" i="10"/>
  <c r="C30" i="10"/>
  <c r="D26" i="10"/>
  <c r="D22" i="10"/>
  <c r="D18" i="10"/>
  <c r="D16" i="10"/>
  <c r="D27" i="10"/>
  <c r="D17" i="10"/>
  <c r="D24" i="10"/>
  <c r="D21" i="10"/>
  <c r="D10" i="10"/>
  <c r="D11" i="10"/>
  <c r="D12" i="10"/>
  <c r="D23" i="10"/>
  <c r="F672" i="1"/>
  <c r="C4" i="10" s="1"/>
  <c r="F667" i="1"/>
  <c r="D20" i="10"/>
  <c r="D15" i="10"/>
  <c r="D25" i="10"/>
  <c r="C41" i="10"/>
  <c r="D38" i="10" s="1"/>
  <c r="H632" i="1" l="1"/>
  <c r="J632" i="1" s="1"/>
  <c r="F474" i="1"/>
  <c r="F476" i="1" s="1"/>
  <c r="I667" i="1"/>
  <c r="H628" i="1"/>
  <c r="G470" i="1"/>
  <c r="G476" i="1" s="1"/>
  <c r="H623" i="1" s="1"/>
  <c r="J623" i="1" s="1"/>
  <c r="J628" i="1"/>
  <c r="J476" i="1"/>
  <c r="H626" i="1" s="1"/>
  <c r="J626" i="1" s="1"/>
  <c r="D28" i="10"/>
  <c r="D37" i="10"/>
  <c r="D36" i="10"/>
  <c r="D35" i="10"/>
  <c r="D40" i="10"/>
  <c r="D39" i="10"/>
  <c r="H622" i="1" l="1"/>
  <c r="D41" i="10"/>
  <c r="F51" i="1" l="1"/>
  <c r="C49" i="2"/>
  <c r="C50" i="2" s="1"/>
  <c r="C51" i="2" s="1"/>
  <c r="G622" i="1" l="1"/>
  <c r="F52" i="1"/>
  <c r="H617" i="1" s="1"/>
  <c r="J617" i="1" s="1"/>
  <c r="J622" i="1" l="1"/>
  <c r="H656" i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<sst xmlns="http://schemas.openxmlformats.org/spreadsheetml/2006/main" count="3957" uniqueCount="915">
  <si>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</si>
  <si>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</si>
  <si>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</si>
  <si>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</si>
  <si>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</si>
  <si>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</si>
  <si>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</si>
  <si>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</si>
  <si>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</si>
  <si>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</si>
  <si>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</si>
  <si>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</si>
  <si>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</si>
  <si>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</si>
  <si>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</si>
  <si>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</si>
  <si>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</si>
  <si>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</si>
  <si>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</si>
  <si>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</si>
  <si>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</si>
  <si>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</si>
  <si>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</si>
  <si>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</si>
  <si>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</si>
  <si>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</si>
  <si>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</si>
  <si>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</si>
  <si>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</si>
  <si>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</si>
  <si>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</si>
  <si>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</si>
  <si>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</si>
  <si>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</si>
  <si>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</si>
  <si>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</si>
  <si>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</si>
  <si>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</si>
  <si>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</si>
  <si>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</si>
  <si>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</si>
  <si>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</si>
  <si>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</si>
  <si>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</si>
  <si>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</si>
  <si>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</si>
  <si>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</si>
  <si>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</si>
  <si>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</si>
  <si>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</si>
  <si>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</si>
  <si>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</si>
  <si>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</si>
  <si>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</si>
  <si>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</si>
  <si>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</si>
  <si>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</si>
  <si>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</si>
  <si>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</si>
  <si>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</si>
  <si>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</si>
  <si>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</si>
  <si>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</si>
  <si>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</si>
  <si>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</si>
  <si>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</si>
  <si>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</si>
  <si>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</si>
  <si>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</si>
  <si>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</si>
  <si>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</si>
  <si>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</si>
  <si>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</si>
  <si>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</si>
  <si>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</si>
  <si>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</si>
  <si>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</si>
  <si>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</si>
  <si>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</si>
  <si>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</si>
  <si>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</si>
  <si>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</si>
  <si>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</si>
  <si>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</si>
  <si>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</si>
  <si>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</si>
  <si>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</si>
  <si>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</si>
  <si>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</si>
  <si>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</si>
  <si>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</si>
  <si>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</si>
  <si>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</si>
  <si>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</si>
  <si>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</si>
  <si>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</si>
  <si>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</si>
  <si>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</si>
  <si>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</si>
  <si>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</si>
  <si>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</si>
  <si>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</si>
  <si>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</si>
  <si>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</si>
  <si>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</si>
  <si>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</si>
  <si>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</si>
  <si>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</si>
  <si>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</si>
  <si>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</si>
  <si>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</si>
  <si>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</si>
  <si>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</si>
  <si>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</si>
  <si>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</si>
  <si>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</si>
  <si>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</si>
  <si>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</si>
  <si>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</si>
  <si>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</si>
  <si>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</si>
  <si>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</si>
  <si>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</si>
  <si>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</si>
  <si>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</si>
  <si>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</si>
  <si>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</si>
  <si>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</si>
  <si>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</si>
  <si>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</si>
  <si>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</si>
  <si>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</si>
  <si>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</si>
  <si>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</si>
  <si>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</si>
  <si>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</si>
  <si>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</si>
  <si>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</si>
  <si>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</si>
  <si>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</si>
  <si>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</si>
  <si>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</si>
  <si>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</si>
  <si>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</si>
  <si>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</si>
  <si>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</si>
  <si>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</si>
  <si>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</si>
  <si>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</si>
  <si>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</si>
  <si>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</si>
  <si>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</si>
  <si>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</si>
  <si>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</si>
  <si>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</si>
  <si>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</si>
  <si>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</si>
  <si>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</si>
  <si>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</si>
  <si>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</si>
  <si>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</si>
  <si>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</si>
  <si>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</si>
  <si>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</si>
  <si>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</si>
  <si>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</si>
  <si>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</si>
  <si>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</si>
  <si>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</si>
  <si>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</si>
  <si>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</si>
  <si>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</si>
  <si>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</si>
  <si>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</si>
  <si>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</si>
  <si>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</si>
  <si>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</si>
  <si>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</si>
  <si>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</si>
  <si>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</si>
  <si>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</si>
  <si>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</si>
  <si>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</si>
  <si>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</si>
  <si>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</si>
  <si>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</si>
  <si>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</si>
  <si>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</si>
  <si>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</si>
  <si>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</si>
  <si>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</si>
  <si>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</si>
  <si>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</si>
  <si>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</si>
  <si>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</si>
  <si>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</si>
  <si>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</si>
  <si>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</si>
  <si>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</si>
  <si>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</si>
  <si>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</si>
  <si>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</si>
  <si>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</si>
  <si>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</si>
  <si>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</si>
  <si>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</si>
  <si>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</si>
  <si>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</si>
  <si>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</si>
  <si>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</si>
  <si>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</si>
  <si>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</si>
  <si>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</si>
  <si>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</si>
  <si>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</si>
  <si>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</si>
  <si>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</si>
  <si>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</si>
  <si>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</si>
  <si>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</si>
  <si>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</si>
  <si>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</si>
  <si>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</si>
  <si>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</si>
  <si>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</si>
  <si>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</si>
  <si>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</si>
  <si>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</si>
  <si>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</si>
  <si>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</si>
  <si>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</si>
  <si>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</si>
  <si>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</si>
  <si>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</si>
  <si>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</si>
  <si>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</si>
  <si>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</si>
  <si>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</si>
  <si>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</si>
  <si>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</si>
  <si>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</si>
  <si>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</si>
  <si>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</si>
  <si>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</si>
  <si>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</si>
  <si>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</si>
  <si>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</si>
  <si>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</si>
  <si>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</si>
  <si>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</si>
  <si>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</si>
  <si>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</si>
  <si>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</si>
  <si>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</si>
  <si>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</si>
  <si>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</si>
  <si>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</si>
  <si>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</si>
  <si>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</si>
  <si>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</si>
  <si>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</si>
  <si>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</si>
  <si>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</si>
  <si>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</si>
  <si>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</si>
  <si>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</si>
  <si>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</si>
  <si>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</si>
  <si>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</si>
  <si>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</si>
  <si>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</si>
  <si>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</si>
  <si>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</si>
  <si>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</si>
  <si>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</si>
  <si>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</si>
  <si>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</si>
  <si>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</si>
  <si>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</si>
  <si>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</si>
  <si>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</si>
  <si>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</si>
  <si>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</si>
  <si>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</si>
  <si>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</si>
  <si>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</si>
  <si>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</si>
  <si>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</si>
  <si>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</si>
  <si>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</si>
  <si>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</si>
  <si>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</si>
  <si>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</si>
  <si>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</si>
  <si>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</si>
  <si>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</si>
  <si>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</si>
  <si>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</si>
  <si>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</si>
  <si>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</si>
  <si>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</si>
  <si>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</si>
  <si>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</si>
  <si>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</si>
  <si>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</si>
  <si>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</si>
  <si>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</si>
  <si>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</si>
  <si>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</si>
  <si>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</si>
  <si>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</si>
  <si>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</si>
  <si>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</si>
  <si>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</si>
  <si>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</si>
  <si>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</si>
  <si>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</si>
  <si>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</si>
  <si>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</si>
  <si>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</si>
  <si>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</si>
  <si>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</si>
  <si>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</si>
  <si>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</si>
  <si>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</si>
  <si>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</si>
  <si>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</si>
  <si>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</si>
  <si>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</si>
  <si>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</si>
  <si>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</si>
  <si>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</si>
  <si>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</si>
  <si>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</si>
  <si>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</si>
  <si>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</si>
  <si>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</si>
  <si>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</si>
  <si>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</si>
  <si>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</si>
  <si>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</si>
  <si>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</si>
  <si>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</si>
  <si>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</si>
  <si>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</si>
  <si>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</si>
  <si>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</si>
  <si>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</si>
  <si>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</si>
  <si>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</si>
  <si>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</si>
  <si>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</si>
  <si>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</si>
  <si>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</si>
  <si>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</si>
  <si>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</si>
  <si>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</si>
  <si>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</si>
  <si>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</si>
  <si>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</si>
  <si>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</si>
  <si>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</si>
  <si>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</si>
  <si>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</si>
  <si>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</si>
  <si>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</si>
  <si>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</si>
  <si>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</si>
  <si>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</si>
  <si>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</si>
  <si>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</si>
  <si>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</si>
  <si>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</si>
  <si>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</si>
  <si>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</si>
  <si>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</si>
  <si>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</si>
  <si>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</si>
  <si>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</si>
  <si>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</si>
  <si>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</si>
  <si>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</si>
  <si>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</si>
  <si>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</si>
  <si>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</si>
  <si>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</si>
  <si>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</si>
  <si>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</si>
  <si>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</si>
  <si>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</si>
  <si>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</si>
  <si>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</si>
  <si>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</si>
  <si>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</si>
  <si>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</si>
  <si>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</si>
  <si>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</si>
  <si>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</si>
  <si>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</si>
  <si>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</si>
  <si>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</si>
  <si>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</si>
  <si>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</si>
  <si>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</si>
  <si>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</si>
  <si>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</si>
  <si>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</si>
  <si>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</si>
  <si>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</si>
  <si>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</si>
  <si>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</si>
  <si>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</si>
  <si>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</si>
  <si>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</si>
  <si>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</si>
  <si>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</si>
  <si>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</si>
  <si>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</si>
  <si>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</si>
  <si>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</si>
  <si>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</si>
  <si>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</si>
  <si>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</si>
  <si>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</si>
  <si>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</si>
  <si>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</si>
  <si>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</si>
  <si>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</si>
  <si>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</si>
  <si>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</si>
  <si>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</si>
  <si>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</si>
  <si>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</si>
  <si>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</si>
  <si>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</si>
  <si>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</si>
  <si>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</si>
  <si>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</si>
  <si>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</si>
  <si>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</si>
  <si>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</si>
  <si>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</si>
  <si>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</si>
  <si>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</si>
  <si>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</si>
  <si>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</si>
  <si>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</si>
  <si>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</si>
  <si>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</si>
  <si>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</si>
  <si>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</si>
  <si>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</si>
  <si>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</si>
  <si>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</si>
  <si>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</si>
  <si>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</si>
  <si>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</si>
  <si>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</si>
  <si>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</si>
  <si>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</si>
  <si>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</si>
  <si>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</si>
  <si>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</si>
  <si>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</si>
  <si>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</si>
  <si>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</si>
  <si>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</si>
  <si>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</si>
  <si>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</si>
  <si>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</si>
  <si>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</si>
  <si>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</si>
  <si>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</si>
  <si>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</si>
  <si>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</si>
  <si>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</si>
  <si>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</si>
  <si>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</si>
  <si>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</si>
  <si>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</si>
  <si>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</si>
  <si>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</si>
  <si>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</si>
  <si>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</si>
  <si>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</si>
  <si>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</si>
  <si>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</si>
  <si>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</si>
  <si>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</si>
  <si>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</si>
  <si>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</si>
  <si>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</si>
  <si>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</si>
  <si>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</si>
  <si>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</si>
  <si>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</si>
  <si>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</si>
  <si>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</si>
  <si>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</si>
  <si>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</si>
  <si>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</si>
  <si>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</si>
  <si>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</si>
  <si>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</si>
  <si>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</si>
  <si>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</si>
  <si>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</si>
  <si>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</si>
  <si>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</si>
  <si>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</si>
  <si>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</si>
  <si>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</si>
  <si>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</si>
  <si>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</si>
  <si>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</si>
  <si>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</si>
  <si>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</si>
  <si>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</si>
  <si>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</si>
  <si>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</si>
  <si>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</si>
  <si>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</si>
  <si>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</si>
  <si>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</si>
  <si>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</si>
  <si>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</si>
  <si>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</si>
  <si>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</si>
  <si>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</si>
  <si>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</si>
  <si>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</si>
  <si>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</si>
  <si>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</si>
  <si>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</si>
  <si>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</si>
  <si>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</si>
  <si>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</si>
  <si>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</si>
  <si>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</si>
  <si>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</si>
  <si>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</si>
  <si>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</si>
  <si>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</si>
  <si>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</si>
  <si>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</si>
  <si>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</si>
  <si>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</si>
  <si>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</si>
  <si>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</si>
  <si>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</si>
  <si>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</si>
  <si>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</si>
  <si>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</si>
  <si>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</si>
  <si>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</si>
  <si>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</si>
  <si>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</si>
  <si>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</si>
  <si>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</si>
  <si>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</si>
  <si>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</si>
  <si>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</si>
  <si>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</si>
  <si>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</si>
  <si>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</si>
  <si>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</si>
  <si>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</si>
  <si>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</si>
  <si>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</si>
  <si>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</si>
  <si>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</si>
  <si>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</si>
  <si>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</si>
  <si>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</si>
  <si>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</si>
  <si>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</si>
  <si>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</si>
  <si>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</si>
  <si>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</si>
  <si>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</si>
  <si>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</si>
  <si>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</si>
  <si>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</si>
  <si>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</si>
  <si>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</si>
  <si>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</si>
  <si>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</si>
  <si>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</si>
  <si>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</si>
  <si>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</si>
  <si>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</si>
  <si>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</si>
  <si>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</si>
  <si>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</si>
  <si>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</si>
  <si>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</si>
  <si>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</si>
  <si>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</si>
  <si>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</si>
  <si>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</si>
  <si>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</si>
  <si>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</si>
  <si>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</si>
  <si>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</si>
  <si>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</si>
  <si>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</si>
  <si>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</si>
  <si>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</si>
  <si>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</si>
  <si>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</si>
  <si>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</si>
  <si>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</si>
  <si>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</si>
  <si>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</si>
  <si>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</si>
  <si>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</si>
  <si>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</si>
  <si>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</si>
  <si>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</si>
  <si>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</si>
  <si>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</si>
  <si>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</si>
  <si>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</si>
  <si>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</si>
  <si>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</si>
  <si>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</si>
  <si>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</si>
  <si>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</si>
  <si>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</si>
  <si>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</si>
  <si>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</si>
  <si>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</si>
  <si>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</si>
  <si>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</si>
  <si>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</si>
  <si>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</si>
  <si>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</si>
  <si>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</si>
  <si>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</si>
  <si>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</si>
  <si>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</si>
  <si>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</si>
  <si>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</si>
  <si>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</si>
  <si>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</si>
  <si>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</si>
  <si>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</si>
  <si>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</si>
  <si>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</si>
  <si>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</si>
  <si>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</si>
  <si>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</si>
  <si>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</si>
  <si>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</si>
  <si>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</si>
  <si>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</si>
  <si>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</si>
  <si>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</si>
  <si>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</si>
  <si>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</si>
  <si>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</si>
  <si>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</si>
  <si>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</si>
  <si>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</si>
  <si>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</si>
  <si>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</si>
  <si>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</si>
  <si>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</si>
  <si>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</si>
  <si>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</si>
  <si>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</si>
  <si>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</si>
  <si>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</si>
  <si>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</si>
  <si>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</si>
  <si>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</si>
  <si>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</si>
  <si>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</si>
  <si>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</si>
  <si>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</si>
  <si>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</si>
  <si>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</si>
  <si>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</si>
  <si>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</si>
  <si>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</si>
  <si>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</si>
  <si>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</si>
  <si>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</si>
  <si>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</si>
  <si>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</si>
  <si>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</si>
  <si>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</si>
  <si>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</si>
  <si>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</si>
  <si>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</si>
  <si>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</si>
  <si>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</si>
  <si>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</si>
  <si>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</si>
  <si>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</si>
  <si>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</si>
  <si>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</si>
  <si>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</si>
  <si>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</si>
  <si>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</si>
  <si>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</si>
  <si>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</si>
  <si>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</si>
  <si>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</si>
  <si>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</si>
  <si>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</si>
  <si>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</si>
  <si>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</si>
  <si>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</si>
  <si>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</si>
  <si>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</si>
  <si>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</si>
  <si>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</si>
  <si>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</si>
  <si>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</si>
  <si>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</si>
  <si>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</si>
  <si>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</si>
  <si>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</si>
  <si>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</si>
  <si>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</si>
  <si>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</si>
  <si>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</si>
  <si>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</si>
  <si>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</si>
  <si>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</si>
  <si>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</si>
  <si>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</si>
  <si>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</si>
  <si>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</si>
  <si>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</si>
  <si>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</si>
  <si>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</si>
  <si>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</si>
  <si>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</si>
  <si>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</si>
  <si>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</si>
  <si>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</si>
  <si>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</si>
  <si>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</si>
  <si>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</si>
  <si>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</si>
  <si>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</si>
  <si>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</si>
  <si>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</si>
  <si>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</si>
  <si>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</si>
  <si>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</si>
  <si>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</si>
  <si>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</si>
  <si>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</si>
  <si>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</si>
  <si>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</si>
  <si>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</si>
  <si>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</si>
  <si>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</si>
  <si>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</si>
  <si>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</si>
  <si>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</si>
  <si>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</si>
  <si>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</si>
  <si>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</si>
  <si>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</si>
  <si>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</si>
  <si>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</si>
  <si>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</si>
  <si>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</si>
  <si>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</si>
  <si>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</si>
  <si>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</si>
  <si>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</si>
  <si>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</si>
  <si>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</si>
  <si>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</si>
  <si>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</si>
  <si>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</si>
  <si>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</si>
  <si>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</si>
  <si>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</si>
  <si>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</si>
  <si>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</si>
  <si>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</si>
  <si>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</si>
  <si>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</si>
  <si>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</si>
  <si>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</si>
  <si>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</si>
  <si>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</si>
  <si>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</si>
  <si>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</si>
  <si>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</si>
  <si>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</si>
  <si>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</si>
  <si>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</si>
  <si>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</si>
  <si>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</si>
  <si>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</si>
  <si>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</si>
  <si>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</si>
  <si>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</si>
  <si>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</si>
  <si>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</si>
  <si>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</si>
  <si>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</si>
  <si>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</si>
  <si>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</si>
  <si>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</si>
  <si>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</si>
  <si>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</si>
  <si>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</si>
  <si>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</si>
  <si>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</si>
  <si>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</si>
  <si>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</si>
  <si>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</si>
  <si>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</si>
  <si>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</si>
  <si>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</si>
  <si>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</si>
  <si>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</si>
  <si>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</si>
  <si>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</si>
  <si>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</si>
  <si>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</si>
  <si>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</si>
  <si>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</si>
  <si>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</si>
  <si>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</si>
  <si>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</si>
  <si>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</si>
  <si>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</si>
  <si>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</si>
  <si>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</si>
  <si>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</si>
  <si>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</si>
  <si>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</si>
  <si>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</si>
  <si>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</si>
  <si>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</si>
  <si>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</si>
  <si>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</si>
  <si>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</si>
  <si>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</si>
  <si>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</si>
  <si>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</si>
  <si>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</si>
  <si>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</si>
  <si>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</si>
  <si>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</si>
  <si>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</si>
  <si>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</si>
  <si>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</si>
  <si>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</si>
  <si>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</si>
  <si>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</si>
  <si>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</si>
  <si>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</si>
  <si>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</si>
  <si>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</si>
  <si>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</si>
  <si>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</si>
  <si>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</si>
  <si>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</si>
  <si>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</si>
  <si>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</si>
  <si>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</si>
  <si>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</si>
  <si>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</si>
  <si>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</si>
  <si>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</si>
  <si>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</si>
  <si>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</si>
  <si>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</si>
  <si>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</si>
  <si>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</si>
  <si>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</si>
  <si>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</si>
  <si>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</si>
  <si>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</si>
  <si>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</si>
  <si>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</si>
  <si>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</si>
  <si>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</si>
  <si>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</si>
  <si>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</si>
  <si>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</si>
  <si>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</si>
  <si>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</si>
  <si>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</si>
  <si>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</si>
  <si>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</si>
  <si>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</si>
  <si>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</si>
  <si>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</si>
  <si>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</si>
  <si>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</si>
  <si>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</si>
  <si>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</si>
  <si>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</si>
  <si>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</si>
  <si>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</si>
  <si>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</si>
  <si>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</si>
  <si>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</si>
  <si>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</si>
  <si>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</si>
  <si>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</si>
  <si>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12/06</t>
  </si>
  <si>
    <t>01/17</t>
  </si>
  <si>
    <t>DUNBARTON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</si>
</sst>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433" activePane="bottomRight" state="frozen"/>
      <selection pane="topRight" activeCell="F1" sqref="F1"/>
      <selection pane="bottomLeft" activeCell="A4" sqref="A4"/>
      <selection pane="bottomRight" activeCell="I669" sqref="I66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914</v>
      </c>
      <c r="B2" s="21">
        <v>149</v>
      </c>
      <c r="C2" s="21">
        <v>149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761737.31</v>
      </c>
      <c r="G9" s="18">
        <v>0</v>
      </c>
      <c r="H9" s="18">
        <v>0</v>
      </c>
      <c r="I9" s="18">
        <v>0</v>
      </c>
      <c r="J9" s="67">
        <f>SUM(I439)</f>
        <v>0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>
        <v>0</v>
      </c>
      <c r="G10" s="18">
        <v>0</v>
      </c>
      <c r="H10" s="18">
        <v>0</v>
      </c>
      <c r="I10" s="18">
        <v>0</v>
      </c>
      <c r="J10" s="67">
        <f>SUM(I440)</f>
        <v>0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>
        <f>787394-50000</f>
        <v>737394</v>
      </c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v>0</v>
      </c>
      <c r="G12" s="18">
        <v>970.28</v>
      </c>
      <c r="H12" s="18">
        <v>0</v>
      </c>
      <c r="I12" s="18">
        <v>0</v>
      </c>
      <c r="J12" s="67">
        <f>SUM(I441)</f>
        <v>276905.65000000002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0</v>
      </c>
      <c r="G13" s="18">
        <v>0</v>
      </c>
      <c r="H13" s="18">
        <v>0</v>
      </c>
      <c r="I13" s="18">
        <v>0</v>
      </c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0</v>
      </c>
      <c r="G14" s="18">
        <v>1390.18</v>
      </c>
      <c r="H14" s="18">
        <v>13297.14</v>
      </c>
      <c r="I14" s="18">
        <v>0</v>
      </c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>
        <v>0</v>
      </c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>
        <v>0</v>
      </c>
      <c r="G16" s="18">
        <v>0</v>
      </c>
      <c r="H16" s="18">
        <v>0</v>
      </c>
      <c r="I16" s="18">
        <v>0</v>
      </c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>
        <v>2825</v>
      </c>
      <c r="G17" s="18">
        <v>0</v>
      </c>
      <c r="H17" s="18">
        <v>0</v>
      </c>
      <c r="I17" s="18">
        <v>0</v>
      </c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>
        <v>0</v>
      </c>
      <c r="G18" s="18">
        <v>0</v>
      </c>
      <c r="H18" s="145">
        <v>0</v>
      </c>
      <c r="I18" s="18">
        <v>0</v>
      </c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1501956.31</v>
      </c>
      <c r="G19" s="41">
        <f>SUM(G9:G18)</f>
        <v>2360.46</v>
      </c>
      <c r="H19" s="41">
        <f>SUM(H9:H18)</f>
        <v>13297.14</v>
      </c>
      <c r="I19" s="41">
        <f>SUM(I9:I18)</f>
        <v>0</v>
      </c>
      <c r="J19" s="41">
        <f>SUM(J9:J18)</f>
        <v>276905.65000000002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>
        <f>1551956.31-581964.75</f>
        <v>969991.56</v>
      </c>
      <c r="G22" s="18">
        <v>0</v>
      </c>
      <c r="H22" s="18">
        <f>13297.14-1449.16</f>
        <v>11847.98</v>
      </c>
      <c r="I22" s="18">
        <v>0</v>
      </c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>
        <v>0</v>
      </c>
      <c r="G23" s="18">
        <v>0</v>
      </c>
      <c r="H23" s="18">
        <v>0</v>
      </c>
      <c r="I23" s="18">
        <v>0</v>
      </c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92632.06</v>
      </c>
      <c r="G24" s="18">
        <v>1736.57</v>
      </c>
      <c r="H24" s="18">
        <v>1449.16</v>
      </c>
      <c r="I24" s="18">
        <v>0</v>
      </c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>
        <v>34914.39</v>
      </c>
      <c r="G25" s="145">
        <v>623.89</v>
      </c>
      <c r="H25" s="18">
        <v>0</v>
      </c>
      <c r="I25" s="18">
        <v>0</v>
      </c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>
        <v>0</v>
      </c>
      <c r="G26" s="24" t="s">
        <v>288</v>
      </c>
      <c r="H26" s="24" t="s">
        <v>288</v>
      </c>
      <c r="I26" s="18">
        <v>0</v>
      </c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>
        <v>0</v>
      </c>
      <c r="G27" s="24" t="s">
        <v>288</v>
      </c>
      <c r="H27" s="24" t="s">
        <v>288</v>
      </c>
      <c r="I27" s="18">
        <v>0</v>
      </c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>
        <v>0</v>
      </c>
      <c r="G28" s="18">
        <v>0</v>
      </c>
      <c r="H28" s="18">
        <v>0</v>
      </c>
      <c r="I28" s="18">
        <v>0</v>
      </c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>
        <v>-781.64</v>
      </c>
      <c r="G29" s="18">
        <v>0</v>
      </c>
      <c r="H29" s="18">
        <v>0</v>
      </c>
      <c r="I29" s="18">
        <v>0</v>
      </c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>
        <v>0</v>
      </c>
      <c r="G30" s="18">
        <v>0</v>
      </c>
      <c r="H30" s="18">
        <v>0</v>
      </c>
      <c r="I30" s="18">
        <v>0</v>
      </c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>
        <v>0</v>
      </c>
      <c r="G31" s="18">
        <v>0</v>
      </c>
      <c r="H31" s="18">
        <v>0</v>
      </c>
      <c r="I31" s="18">
        <v>0</v>
      </c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1096756.3700000001</v>
      </c>
      <c r="G32" s="41">
        <f>SUM(G22:G31)</f>
        <v>2360.46</v>
      </c>
      <c r="H32" s="41">
        <f>SUM(H22:H31)</f>
        <v>13297.14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>
        <v>0</v>
      </c>
      <c r="G35" s="18">
        <v>0</v>
      </c>
      <c r="H35" s="18">
        <v>0</v>
      </c>
      <c r="I35" s="18">
        <v>0</v>
      </c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>
        <v>0</v>
      </c>
      <c r="G36" s="18">
        <v>0</v>
      </c>
      <c r="H36" s="18">
        <v>0</v>
      </c>
      <c r="I36" s="18">
        <v>0</v>
      </c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>
        <v>0</v>
      </c>
      <c r="G37" s="18">
        <v>0</v>
      </c>
      <c r="H37" s="18">
        <v>0</v>
      </c>
      <c r="I37" s="18">
        <v>0</v>
      </c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>
        <v>0</v>
      </c>
      <c r="G39" s="18">
        <v>0</v>
      </c>
      <c r="H39" s="18">
        <v>0</v>
      </c>
      <c r="I39" s="18">
        <v>0</v>
      </c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>
        <v>0</v>
      </c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>
        <v>0</v>
      </c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>
        <v>0</v>
      </c>
      <c r="G43" s="18">
        <v>0</v>
      </c>
      <c r="H43" s="18">
        <v>0</v>
      </c>
      <c r="I43" s="18">
        <v>0</v>
      </c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>
        <v>32758</v>
      </c>
      <c r="G44" s="18">
        <v>0</v>
      </c>
      <c r="H44" s="18">
        <v>0</v>
      </c>
      <c r="I44" s="18">
        <v>0</v>
      </c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>
        <v>0</v>
      </c>
      <c r="G45" s="18">
        <v>0</v>
      </c>
      <c r="H45" s="18">
        <v>0</v>
      </c>
      <c r="I45" s="18">
        <v>0</v>
      </c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>
        <v>0</v>
      </c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>
        <v>0</v>
      </c>
      <c r="G48" s="18">
        <v>0</v>
      </c>
      <c r="H48" s="18">
        <v>0</v>
      </c>
      <c r="I48" s="18">
        <v>0</v>
      </c>
      <c r="J48" s="13">
        <f>SUM(I459)</f>
        <v>276905.65000000002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>
        <v>0</v>
      </c>
      <c r="G49" s="18">
        <v>0</v>
      </c>
      <c r="H49" s="18">
        <v>0</v>
      </c>
      <c r="I49" s="18">
        <v>0</v>
      </c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f>405199.94-32758</f>
        <v>372441.94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405199.94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276905.65000000002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1501956.31</v>
      </c>
      <c r="G52" s="41">
        <f>G51+G32</f>
        <v>2360.46</v>
      </c>
      <c r="H52" s="41">
        <f>H51+H32</f>
        <v>13297.14</v>
      </c>
      <c r="I52" s="41">
        <f>I51+I32</f>
        <v>0</v>
      </c>
      <c r="J52" s="41">
        <f>J51+J32</f>
        <v>276905.65000000002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f>4267376-50000</f>
        <v>4217376</v>
      </c>
      <c r="G57" s="18">
        <v>0</v>
      </c>
      <c r="H57" s="18">
        <v>0</v>
      </c>
      <c r="I57" s="18">
        <v>0</v>
      </c>
      <c r="J57" s="18">
        <v>50000</v>
      </c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>
        <v>0</v>
      </c>
      <c r="G58" s="18">
        <v>0</v>
      </c>
      <c r="H58" s="24" t="s">
        <v>288</v>
      </c>
      <c r="I58" s="18">
        <v>0</v>
      </c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>
        <v>0</v>
      </c>
      <c r="G59" s="18">
        <v>0</v>
      </c>
      <c r="H59" s="18">
        <v>0</v>
      </c>
      <c r="I59" s="18">
        <v>0</v>
      </c>
      <c r="J59" s="18">
        <v>0</v>
      </c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4217376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50000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>
        <v>0</v>
      </c>
      <c r="G63" s="24" t="s">
        <v>288</v>
      </c>
      <c r="H63" s="18">
        <v>0</v>
      </c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>
        <v>0</v>
      </c>
      <c r="G64" s="24" t="s">
        <v>288</v>
      </c>
      <c r="H64" s="18">
        <v>0</v>
      </c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>
        <v>0</v>
      </c>
      <c r="G65" s="24" t="s">
        <v>288</v>
      </c>
      <c r="H65" s="18">
        <v>0</v>
      </c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>
        <v>0</v>
      </c>
      <c r="G66" s="24" t="s">
        <v>288</v>
      </c>
      <c r="H66" s="18">
        <v>0</v>
      </c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>
        <v>0</v>
      </c>
      <c r="G68" s="24" t="s">
        <v>288</v>
      </c>
      <c r="H68" s="18">
        <v>0</v>
      </c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>
        <v>0</v>
      </c>
      <c r="G69" s="24" t="s">
        <v>288</v>
      </c>
      <c r="H69" s="18">
        <v>0</v>
      </c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>
        <v>0</v>
      </c>
      <c r="G70" s="24" t="s">
        <v>288</v>
      </c>
      <c r="H70" s="18">
        <v>0</v>
      </c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>
        <v>0</v>
      </c>
      <c r="G72" s="24" t="s">
        <v>288</v>
      </c>
      <c r="H72" s="18">
        <v>0</v>
      </c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>
        <v>0</v>
      </c>
      <c r="G73" s="24" t="s">
        <v>288</v>
      </c>
      <c r="H73" s="18">
        <v>0</v>
      </c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>
        <v>0</v>
      </c>
      <c r="G74" s="24" t="s">
        <v>288</v>
      </c>
      <c r="H74" s="18">
        <v>0</v>
      </c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>
        <v>0</v>
      </c>
      <c r="G76" s="24" t="s">
        <v>288</v>
      </c>
      <c r="H76" s="18">
        <v>0</v>
      </c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>
        <v>0</v>
      </c>
      <c r="G77" s="24" t="s">
        <v>288</v>
      </c>
      <c r="H77" s="18">
        <v>0</v>
      </c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>
        <v>0</v>
      </c>
      <c r="G78" s="24" t="s">
        <v>288</v>
      </c>
      <c r="H78" s="18">
        <v>0</v>
      </c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0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>
        <v>0</v>
      </c>
      <c r="G83" s="24" t="s">
        <v>288</v>
      </c>
      <c r="H83" s="18">
        <v>0</v>
      </c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>
        <v>0</v>
      </c>
      <c r="G84" s="24" t="s">
        <v>288</v>
      </c>
      <c r="H84" s="18">
        <v>0</v>
      </c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>
        <v>0</v>
      </c>
      <c r="G86" s="24" t="s">
        <v>288</v>
      </c>
      <c r="H86" s="18">
        <v>0</v>
      </c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>
        <v>0</v>
      </c>
      <c r="G87" s="24" t="s">
        <v>288</v>
      </c>
      <c r="H87" s="18">
        <v>0</v>
      </c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>
        <v>0</v>
      </c>
      <c r="G88" s="24" t="s">
        <v>288</v>
      </c>
      <c r="H88" s="18">
        <v>0</v>
      </c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>
        <v>0</v>
      </c>
      <c r="G90" s="24" t="s">
        <v>288</v>
      </c>
      <c r="H90" s="18">
        <v>0</v>
      </c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>
        <v>0</v>
      </c>
      <c r="G91" s="24" t="s">
        <v>288</v>
      </c>
      <c r="H91" s="18">
        <v>0</v>
      </c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>
        <v>0</v>
      </c>
      <c r="G92" s="24" t="s">
        <v>288</v>
      </c>
      <c r="H92" s="18">
        <v>0</v>
      </c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>
        <v>0</v>
      </c>
      <c r="G93" s="24" t="s">
        <v>288</v>
      </c>
      <c r="H93" s="18">
        <v>0</v>
      </c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261.45</v>
      </c>
      <c r="G96" s="18">
        <v>0</v>
      </c>
      <c r="H96" s="18">
        <v>0</v>
      </c>
      <c r="I96" s="18">
        <v>0</v>
      </c>
      <c r="J96" s="18">
        <f>470.06+737.74+20.54+23.96</f>
        <v>1252.3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45439.59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>
        <v>0</v>
      </c>
      <c r="G98" s="24" t="s">
        <v>288</v>
      </c>
      <c r="H98" s="18">
        <v>0</v>
      </c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>
        <v>0</v>
      </c>
      <c r="G99" s="18">
        <v>0</v>
      </c>
      <c r="H99" s="18">
        <v>0</v>
      </c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>
        <v>2250</v>
      </c>
      <c r="G101" s="18">
        <v>0</v>
      </c>
      <c r="H101" s="18">
        <v>0</v>
      </c>
      <c r="I101" s="18">
        <v>0</v>
      </c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>
        <v>0</v>
      </c>
      <c r="G102" s="18">
        <v>0</v>
      </c>
      <c r="H102" s="18">
        <v>0</v>
      </c>
      <c r="I102" s="18">
        <v>0</v>
      </c>
      <c r="J102" s="18">
        <v>0</v>
      </c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>
        <v>0</v>
      </c>
      <c r="G103" s="18">
        <v>0</v>
      </c>
      <c r="H103" s="18">
        <v>0</v>
      </c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>
        <v>0</v>
      </c>
      <c r="G104" s="24" t="s">
        <v>288</v>
      </c>
      <c r="H104" s="18">
        <v>0</v>
      </c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>
        <v>0</v>
      </c>
      <c r="G105" s="18">
        <v>0</v>
      </c>
      <c r="H105" s="18">
        <v>0</v>
      </c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>
        <v>0</v>
      </c>
      <c r="G106" s="18">
        <v>0</v>
      </c>
      <c r="H106" s="18">
        <v>0</v>
      </c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>
        <v>0</v>
      </c>
      <c r="G107" s="18">
        <v>0</v>
      </c>
      <c r="H107" s="18">
        <v>0</v>
      </c>
      <c r="I107" s="18">
        <v>0</v>
      </c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>
        <v>0</v>
      </c>
      <c r="G108" s="18">
        <v>0</v>
      </c>
      <c r="H108" s="18">
        <v>0</v>
      </c>
      <c r="I108" s="18">
        <v>0</v>
      </c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>
        <v>0</v>
      </c>
      <c r="G109" s="18">
        <v>0</v>
      </c>
      <c r="H109" s="18">
        <v>0</v>
      </c>
      <c r="I109" s="18">
        <v>0</v>
      </c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f>4076.06-2250</f>
        <v>1826.06</v>
      </c>
      <c r="G110" s="18">
        <v>0</v>
      </c>
      <c r="H110" s="18">
        <v>0</v>
      </c>
      <c r="I110" s="18">
        <v>0</v>
      </c>
      <c r="J110" s="18">
        <v>0</v>
      </c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4337.51</v>
      </c>
      <c r="G111" s="41">
        <f>SUM(G96:G110)</f>
        <v>45439.59</v>
      </c>
      <c r="H111" s="41">
        <f>SUM(H96:H110)</f>
        <v>0</v>
      </c>
      <c r="I111" s="41">
        <f>SUM(I96:I110)</f>
        <v>0</v>
      </c>
      <c r="J111" s="41">
        <f>SUM(J96:J110)</f>
        <v>1252.3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4221713.51</v>
      </c>
      <c r="G112" s="41">
        <f>G60+G111</f>
        <v>45439.59</v>
      </c>
      <c r="H112" s="41">
        <f>H60+H79+H94+H111</f>
        <v>0</v>
      </c>
      <c r="I112" s="41">
        <f>I60+I111</f>
        <v>0</v>
      </c>
      <c r="J112" s="41">
        <f>J60+J111</f>
        <v>51252.3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f>968018.21-146459</f>
        <v>821559.21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670018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>
        <v>146459</v>
      </c>
      <c r="G120" s="18">
        <v>0</v>
      </c>
      <c r="H120" s="18">
        <v>0</v>
      </c>
      <c r="I120" s="18">
        <v>0</v>
      </c>
      <c r="J120" s="18">
        <v>0</v>
      </c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1638036.21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>
        <v>16672.03</v>
      </c>
      <c r="G123" s="24" t="s">
        <v>288</v>
      </c>
      <c r="H123" s="24" t="s">
        <v>288</v>
      </c>
      <c r="I123" s="18">
        <v>0</v>
      </c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>
        <v>0</v>
      </c>
      <c r="G124" s="24"/>
      <c r="H124" s="24"/>
      <c r="I124" s="18">
        <v>0</v>
      </c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>
        <v>0</v>
      </c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24723.49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>
        <v>0</v>
      </c>
      <c r="G127" s="24" t="s">
        <v>288</v>
      </c>
      <c r="H127" s="18">
        <v>0</v>
      </c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>
        <v>0</v>
      </c>
      <c r="G128" s="24" t="s">
        <v>288</v>
      </c>
      <c r="H128" s="18">
        <v>0</v>
      </c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>
        <v>0</v>
      </c>
      <c r="G129" s="24" t="s">
        <v>288</v>
      </c>
      <c r="H129" s="18">
        <v>0</v>
      </c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>
        <v>0</v>
      </c>
      <c r="G130" s="24" t="s">
        <v>288</v>
      </c>
      <c r="H130" s="18">
        <v>0</v>
      </c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>
        <v>0</v>
      </c>
      <c r="G131" s="24" t="s">
        <v>288</v>
      </c>
      <c r="H131" s="18">
        <v>0</v>
      </c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f>683.75+2877.71</f>
        <v>3561.46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>
        <v>0</v>
      </c>
      <c r="G133" s="24" t="s">
        <v>288</v>
      </c>
      <c r="H133" s="18">
        <v>0</v>
      </c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>
        <v>0</v>
      </c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>
        <v>0</v>
      </c>
      <c r="G135" s="18">
        <v>0</v>
      </c>
      <c r="H135" s="18">
        <v>0</v>
      </c>
      <c r="I135" s="18">
        <v>0</v>
      </c>
      <c r="J135" s="18">
        <v>0</v>
      </c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41395.520000000004</v>
      </c>
      <c r="G136" s="41">
        <f>SUM(G123:G135)</f>
        <v>3561.46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>
        <v>0</v>
      </c>
      <c r="G137" s="18">
        <v>0</v>
      </c>
      <c r="H137" s="18">
        <v>0</v>
      </c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>
        <v>0</v>
      </c>
      <c r="G138" s="24" t="s">
        <v>288</v>
      </c>
      <c r="H138" s="18">
        <v>0</v>
      </c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1679431.73</v>
      </c>
      <c r="G140" s="41">
        <f>G121+SUM(G136:G137)</f>
        <v>3561.46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>
        <v>0</v>
      </c>
      <c r="G145" s="18">
        <v>0</v>
      </c>
      <c r="H145" s="18">
        <v>0</v>
      </c>
      <c r="I145" s="18">
        <v>0</v>
      </c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>
        <v>0</v>
      </c>
      <c r="G146" s="18">
        <v>0</v>
      </c>
      <c r="H146" s="18">
        <v>0</v>
      </c>
      <c r="I146" s="18">
        <v>0</v>
      </c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>
        <v>0</v>
      </c>
      <c r="G150" s="24" t="s">
        <v>288</v>
      </c>
      <c r="H150" s="18">
        <v>0</v>
      </c>
      <c r="I150" s="18">
        <v>0</v>
      </c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>
        <v>0</v>
      </c>
      <c r="G151" s="24" t="s">
        <v>288</v>
      </c>
      <c r="H151" s="18">
        <v>0</v>
      </c>
      <c r="I151" s="18">
        <v>0</v>
      </c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>
        <v>0</v>
      </c>
      <c r="G152" s="24" t="s">
        <v>288</v>
      </c>
      <c r="H152" s="18">
        <v>0</v>
      </c>
      <c r="I152" s="18">
        <v>0</v>
      </c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f>12500+15017.58</f>
        <v>27517.58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f>1849.8+4200</f>
        <v>6049.8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>
        <v>0</v>
      </c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>
        <v>0</v>
      </c>
      <c r="G157" s="24" t="s">
        <v>288</v>
      </c>
      <c r="H157" s="18">
        <v>0</v>
      </c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15936.1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>
        <v>0</v>
      </c>
      <c r="G159" s="24" t="s">
        <v>288</v>
      </c>
      <c r="H159" s="18">
        <v>54312.71</v>
      </c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81322.2</v>
      </c>
      <c r="G160" s="24" t="s">
        <v>288</v>
      </c>
      <c r="H160" s="18">
        <v>0</v>
      </c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>
        <v>0</v>
      </c>
      <c r="G161" s="18">
        <v>0</v>
      </c>
      <c r="H161" s="18">
        <v>0</v>
      </c>
      <c r="I161" s="18">
        <v>0</v>
      </c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81322.2</v>
      </c>
      <c r="G162" s="41">
        <f>SUM(G150:G161)</f>
        <v>15936.1</v>
      </c>
      <c r="H162" s="41">
        <f>SUM(H150:H161)</f>
        <v>87880.09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>
        <v>0</v>
      </c>
      <c r="G163" s="18">
        <v>0</v>
      </c>
      <c r="H163" s="18">
        <v>0</v>
      </c>
      <c r="I163" s="18">
        <v>0</v>
      </c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>
        <v>0</v>
      </c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>
        <v>0</v>
      </c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>
        <v>0</v>
      </c>
      <c r="G168" s="18">
        <v>0</v>
      </c>
      <c r="H168" s="18">
        <v>0</v>
      </c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81322.2</v>
      </c>
      <c r="G169" s="41">
        <f>G147+G162+SUM(G163:G168)</f>
        <v>15936.1</v>
      </c>
      <c r="H169" s="41">
        <f>H147+H162+SUM(H163:H168)</f>
        <v>87880.09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>
        <v>0</v>
      </c>
      <c r="G173" s="24" t="s">
        <v>288</v>
      </c>
      <c r="H173" s="24" t="s">
        <v>288</v>
      </c>
      <c r="I173" s="18">
        <v>0</v>
      </c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>
        <v>0</v>
      </c>
      <c r="G174" s="24" t="s">
        <v>288</v>
      </c>
      <c r="H174" s="24" t="s">
        <v>288</v>
      </c>
      <c r="I174" s="18">
        <v>0</v>
      </c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>
        <v>0</v>
      </c>
      <c r="G175" s="24" t="s">
        <v>288</v>
      </c>
      <c r="H175" s="24" t="s">
        <v>288</v>
      </c>
      <c r="I175" s="18">
        <v>0</v>
      </c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>
        <v>0</v>
      </c>
      <c r="G176" s="24" t="s">
        <v>288</v>
      </c>
      <c r="H176" s="24" t="s">
        <v>288</v>
      </c>
      <c r="I176" s="18">
        <v>0</v>
      </c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v>9333.1200000000008</v>
      </c>
      <c r="H179" s="18">
        <v>0</v>
      </c>
      <c r="I179" s="18">
        <v>0</v>
      </c>
      <c r="J179" s="18">
        <v>51000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>
        <v>0</v>
      </c>
      <c r="G180" s="24" t="s">
        <v>288</v>
      </c>
      <c r="H180" s="18">
        <v>0</v>
      </c>
      <c r="I180" s="18">
        <v>0</v>
      </c>
      <c r="J180" s="18">
        <v>0</v>
      </c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>
        <v>0</v>
      </c>
      <c r="G181" s="18">
        <v>0</v>
      </c>
      <c r="H181" s="24" t="s">
        <v>288</v>
      </c>
      <c r="I181" s="18">
        <v>0</v>
      </c>
      <c r="J181" s="18">
        <v>0</v>
      </c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>
        <v>0</v>
      </c>
      <c r="G182" s="18">
        <v>0</v>
      </c>
      <c r="H182" s="18">
        <v>0</v>
      </c>
      <c r="I182" s="24" t="s">
        <v>288</v>
      </c>
      <c r="J182" s="18">
        <v>0</v>
      </c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9333.1200000000008</v>
      </c>
      <c r="H183" s="41">
        <f>SUM(H179:H182)</f>
        <v>0</v>
      </c>
      <c r="I183" s="41">
        <f>SUM(I179:I182)</f>
        <v>0</v>
      </c>
      <c r="J183" s="41">
        <f>SUM(J179:J182)</f>
        <v>51000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>
        <v>0</v>
      </c>
      <c r="G185" s="18">
        <v>0</v>
      </c>
      <c r="H185" s="18">
        <v>0</v>
      </c>
      <c r="I185" s="18">
        <v>0</v>
      </c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>
        <v>0</v>
      </c>
      <c r="G186" s="18">
        <v>0</v>
      </c>
      <c r="H186" s="18">
        <v>0</v>
      </c>
      <c r="I186" s="18">
        <v>0</v>
      </c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>
        <v>0</v>
      </c>
      <c r="G187" s="18">
        <v>0</v>
      </c>
      <c r="H187" s="18">
        <v>0</v>
      </c>
      <c r="I187" s="18">
        <v>0</v>
      </c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>
        <v>0</v>
      </c>
      <c r="G189" s="18">
        <v>0</v>
      </c>
      <c r="H189" s="18">
        <v>0</v>
      </c>
      <c r="I189" s="18">
        <v>0</v>
      </c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>
        <v>0</v>
      </c>
      <c r="G190" s="18">
        <v>0</v>
      </c>
      <c r="H190" s="18">
        <v>0</v>
      </c>
      <c r="I190" s="18">
        <v>0</v>
      </c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>
        <v>0</v>
      </c>
      <c r="G191" s="18">
        <v>0</v>
      </c>
      <c r="H191" s="18">
        <v>0</v>
      </c>
      <c r="I191" s="18">
        <v>0</v>
      </c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9333.1200000000008</v>
      </c>
      <c r="H192" s="41">
        <f>+H183+SUM(H188:H191)</f>
        <v>0</v>
      </c>
      <c r="I192" s="41">
        <f>I177+I183+SUM(I188:I191)</f>
        <v>0</v>
      </c>
      <c r="J192" s="41">
        <f>J183</f>
        <v>51000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5982467.4400000004</v>
      </c>
      <c r="G193" s="47">
        <f>G112+G140+G169+G192</f>
        <v>74270.26999999999</v>
      </c>
      <c r="H193" s="47">
        <f>H112+H140+H169+H192</f>
        <v>87880.09</v>
      </c>
      <c r="I193" s="47">
        <f>I112+I140+I169+I192</f>
        <v>0</v>
      </c>
      <c r="J193" s="47">
        <f>J112+J140+J192</f>
        <v>102252.3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f>800435.74+111320.28+39932.53+4650</f>
        <v>956338.55</v>
      </c>
      <c r="G197" s="18">
        <f>15587.92+377466.76</f>
        <v>393054.68</v>
      </c>
      <c r="H197" s="18">
        <f>4475.48</f>
        <v>4475.4799999999996</v>
      </c>
      <c r="I197" s="18">
        <f>18812.22+2276.77+343.52+746.21+8738.65+11200.77+5524+2996.02</f>
        <v>50638.159999999996</v>
      </c>
      <c r="J197" s="18">
        <v>7092.49</v>
      </c>
      <c r="K197" s="18">
        <v>0</v>
      </c>
      <c r="L197" s="19">
        <f>SUM(F197:K197)</f>
        <v>1411599.3599999999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f>53267.81+154897.77+73902.92</f>
        <v>282068.5</v>
      </c>
      <c r="G198" s="18">
        <f>99525.95</f>
        <v>99525.95</v>
      </c>
      <c r="H198" s="18">
        <f>30954.12+2973.75+5868+252.46</f>
        <v>40048.329999999994</v>
      </c>
      <c r="I198" s="18">
        <f>2165.07+948.99+2871.3</f>
        <v>5985.3600000000006</v>
      </c>
      <c r="J198" s="18">
        <f>1999.48+493.4+874.98</f>
        <v>3367.86</v>
      </c>
      <c r="K198" s="18">
        <v>350</v>
      </c>
      <c r="L198" s="19">
        <f>SUM(F198:K198)</f>
        <v>431346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f>1000</f>
        <v>1000</v>
      </c>
      <c r="G200" s="18">
        <f>239.57</f>
        <v>239.57</v>
      </c>
      <c r="H200" s="18">
        <f>8830.25</f>
        <v>8830.25</v>
      </c>
      <c r="I200" s="18">
        <v>0</v>
      </c>
      <c r="J200" s="18">
        <v>0</v>
      </c>
      <c r="K200" s="18">
        <f>1128</f>
        <v>1128</v>
      </c>
      <c r="L200" s="19">
        <f>SUM(F200:K200)</f>
        <v>11197.82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f>24773.02+49069.36+44860.84+36190.34+43756.77</f>
        <v>198650.33</v>
      </c>
      <c r="G202" s="18">
        <f>2089.04+29351.67+15234.36+25348.79</f>
        <v>72023.86</v>
      </c>
      <c r="H202" s="18">
        <f>235+34239.6+715+2331.25+3362.78+12694.83+840</f>
        <v>54418.46</v>
      </c>
      <c r="I202" s="18">
        <f>145.14+1199.88+977.2+688.4</f>
        <v>3010.6200000000003</v>
      </c>
      <c r="J202" s="18">
        <v>0</v>
      </c>
      <c r="K202" s="18">
        <f>45</f>
        <v>45</v>
      </c>
      <c r="L202" s="19">
        <f t="shared" ref="L202:L208" si="0">SUM(F202:K202)</f>
        <v>328148.27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f>35953.94+20724.87</f>
        <v>56678.81</v>
      </c>
      <c r="G203" s="18">
        <f>18259.44</f>
        <v>18259.439999999999</v>
      </c>
      <c r="H203" s="18">
        <f>3749+2428.98+3150+30000</f>
        <v>39327.979999999996</v>
      </c>
      <c r="I203" s="18">
        <f>10+515.56+4568.18+850</f>
        <v>5943.74</v>
      </c>
      <c r="J203" s="18">
        <f>14959.53</f>
        <v>14959.53</v>
      </c>
      <c r="K203" s="18">
        <f>20</f>
        <v>20</v>
      </c>
      <c r="L203" s="19">
        <f t="shared" si="0"/>
        <v>135189.5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f>2500+1270+450+100+100</f>
        <v>4420</v>
      </c>
      <c r="G204" s="18">
        <f>198.33+37.62+15.3</f>
        <v>251.25000000000003</v>
      </c>
      <c r="H204" s="18">
        <f>215+407.5+1997.44+5965+430.5+142580</f>
        <v>151595.44</v>
      </c>
      <c r="I204" s="18">
        <f>301.84</f>
        <v>301.83999999999997</v>
      </c>
      <c r="J204" s="18">
        <v>0</v>
      </c>
      <c r="K204" s="18">
        <v>3116.4</v>
      </c>
      <c r="L204" s="19">
        <f t="shared" si="0"/>
        <v>159684.93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f>92431.04+49988.34</f>
        <v>142419.38</v>
      </c>
      <c r="G205" s="18">
        <v>49896.38</v>
      </c>
      <c r="H205" s="18">
        <f>1950+10492.33+1367.94+480.67</f>
        <v>14290.94</v>
      </c>
      <c r="I205" s="18">
        <v>850.07</v>
      </c>
      <c r="J205" s="18">
        <v>0</v>
      </c>
      <c r="K205" s="18">
        <v>619</v>
      </c>
      <c r="L205" s="19">
        <f t="shared" si="0"/>
        <v>208075.77000000002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f>100766.83</f>
        <v>100766.83</v>
      </c>
      <c r="G207" s="18">
        <v>18782.009999999998</v>
      </c>
      <c r="H207" s="18">
        <f>11320.36+11897.28+15732.99+8356+14011.15+533.57</f>
        <v>61851.35</v>
      </c>
      <c r="I207" s="18">
        <f>9731.69+38970.67+564.73+27179.13</f>
        <v>76446.22</v>
      </c>
      <c r="J207" s="18">
        <v>6439</v>
      </c>
      <c r="K207" s="18">
        <v>0</v>
      </c>
      <c r="L207" s="19">
        <f t="shared" si="0"/>
        <v>264285.41000000003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>
        <v>0</v>
      </c>
      <c r="G208" s="18">
        <v>0</v>
      </c>
      <c r="H208" s="18">
        <f>257034.4+42709.48+4430.92</f>
        <v>304174.8</v>
      </c>
      <c r="I208" s="18">
        <v>0</v>
      </c>
      <c r="J208" s="18">
        <v>0</v>
      </c>
      <c r="K208" s="18">
        <v>0</v>
      </c>
      <c r="L208" s="19">
        <f t="shared" si="0"/>
        <v>304174.8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>
        <v>0</v>
      </c>
      <c r="G209" s="18">
        <v>0</v>
      </c>
      <c r="H209" s="18">
        <v>0</v>
      </c>
      <c r="I209" s="18">
        <v>0</v>
      </c>
      <c r="J209" s="18">
        <v>0</v>
      </c>
      <c r="K209" s="18">
        <v>0</v>
      </c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1742342.4000000004</v>
      </c>
      <c r="G211" s="41">
        <f t="shared" si="1"/>
        <v>652033.14</v>
      </c>
      <c r="H211" s="41">
        <f t="shared" si="1"/>
        <v>679013.03</v>
      </c>
      <c r="I211" s="41">
        <f t="shared" si="1"/>
        <v>143176.01</v>
      </c>
      <c r="J211" s="41">
        <f t="shared" si="1"/>
        <v>31858.880000000001</v>
      </c>
      <c r="K211" s="41">
        <f t="shared" si="1"/>
        <v>5278.4</v>
      </c>
      <c r="L211" s="41">
        <f t="shared" si="1"/>
        <v>3253701.8600000003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>
        <v>0</v>
      </c>
      <c r="G215" s="18">
        <v>0</v>
      </c>
      <c r="H215" s="18">
        <v>637183.75</v>
      </c>
      <c r="I215" s="18">
        <v>0</v>
      </c>
      <c r="J215" s="18">
        <v>0</v>
      </c>
      <c r="K215" s="18">
        <v>0</v>
      </c>
      <c r="L215" s="19">
        <f>SUM(F215:K215)</f>
        <v>637183.75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>
        <v>0</v>
      </c>
      <c r="G216" s="18">
        <v>0</v>
      </c>
      <c r="H216" s="18">
        <v>44453.5</v>
      </c>
      <c r="I216" s="18">
        <v>0</v>
      </c>
      <c r="J216" s="18">
        <v>0</v>
      </c>
      <c r="K216" s="18">
        <v>0</v>
      </c>
      <c r="L216" s="19">
        <f>SUM(F216:K216)</f>
        <v>44453.5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>
        <v>0</v>
      </c>
      <c r="G218" s="18">
        <v>0</v>
      </c>
      <c r="H218" s="18">
        <v>0</v>
      </c>
      <c r="I218" s="18">
        <v>0</v>
      </c>
      <c r="J218" s="18">
        <v>0</v>
      </c>
      <c r="K218" s="18">
        <v>0</v>
      </c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>
        <v>0</v>
      </c>
      <c r="G220" s="18">
        <v>0</v>
      </c>
      <c r="H220" s="18">
        <f>177.44</f>
        <v>177.44</v>
      </c>
      <c r="I220" s="18">
        <v>0</v>
      </c>
      <c r="J220" s="18">
        <v>0</v>
      </c>
      <c r="K220" s="18">
        <v>0</v>
      </c>
      <c r="L220" s="19">
        <f t="shared" ref="L220:L226" si="2">SUM(F220:K220)</f>
        <v>177.44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>
        <v>0</v>
      </c>
      <c r="G221" s="18">
        <v>0</v>
      </c>
      <c r="H221" s="18">
        <v>0</v>
      </c>
      <c r="I221" s="18">
        <v>0</v>
      </c>
      <c r="J221" s="18">
        <v>0</v>
      </c>
      <c r="K221" s="18">
        <v>0</v>
      </c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>
        <v>0</v>
      </c>
      <c r="G222" s="18">
        <v>0</v>
      </c>
      <c r="H222" s="18">
        <v>0</v>
      </c>
      <c r="I222" s="18">
        <v>0</v>
      </c>
      <c r="J222" s="18">
        <v>0</v>
      </c>
      <c r="K222" s="18">
        <v>0</v>
      </c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>
        <v>0</v>
      </c>
      <c r="G223" s="18">
        <v>0</v>
      </c>
      <c r="H223" s="18">
        <v>0</v>
      </c>
      <c r="I223" s="18">
        <v>0</v>
      </c>
      <c r="J223" s="18">
        <v>0</v>
      </c>
      <c r="K223" s="18">
        <v>0</v>
      </c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>
        <v>0</v>
      </c>
      <c r="G224" s="18">
        <v>0</v>
      </c>
      <c r="H224" s="18">
        <v>0</v>
      </c>
      <c r="I224" s="18">
        <v>0</v>
      </c>
      <c r="J224" s="18">
        <v>0</v>
      </c>
      <c r="K224" s="18">
        <v>0</v>
      </c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>
        <v>0</v>
      </c>
      <c r="G225" s="18">
        <v>0</v>
      </c>
      <c r="H225" s="18">
        <v>0</v>
      </c>
      <c r="I225" s="18">
        <v>0</v>
      </c>
      <c r="J225" s="18">
        <v>0</v>
      </c>
      <c r="K225" s="18">
        <v>0</v>
      </c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>
        <v>0</v>
      </c>
      <c r="G226" s="18">
        <v>0</v>
      </c>
      <c r="H226" s="18">
        <v>1323.81</v>
      </c>
      <c r="I226" s="18">
        <v>0</v>
      </c>
      <c r="J226" s="18">
        <v>0</v>
      </c>
      <c r="K226" s="18">
        <v>0</v>
      </c>
      <c r="L226" s="19">
        <f t="shared" si="2"/>
        <v>1323.81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>
        <v>0</v>
      </c>
      <c r="G227" s="18">
        <v>0</v>
      </c>
      <c r="H227" s="18">
        <v>0</v>
      </c>
      <c r="I227" s="18">
        <v>0</v>
      </c>
      <c r="J227" s="18">
        <v>0</v>
      </c>
      <c r="K227" s="18">
        <v>0</v>
      </c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683138.5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683138.5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>
        <v>0</v>
      </c>
      <c r="G233" s="18">
        <v>0</v>
      </c>
      <c r="H233" s="18">
        <v>1694183.72</v>
      </c>
      <c r="I233" s="18">
        <v>0</v>
      </c>
      <c r="J233" s="18">
        <v>0</v>
      </c>
      <c r="K233" s="18">
        <v>0</v>
      </c>
      <c r="L233" s="19">
        <f>SUM(F233:K233)</f>
        <v>1694183.72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>
        <v>0</v>
      </c>
      <c r="G234" s="18">
        <v>0</v>
      </c>
      <c r="H234" s="18">
        <v>148853.67000000001</v>
      </c>
      <c r="I234" s="18">
        <v>0</v>
      </c>
      <c r="J234" s="18">
        <v>0</v>
      </c>
      <c r="K234" s="18">
        <v>0</v>
      </c>
      <c r="L234" s="19">
        <f>SUM(F234:K234)</f>
        <v>148853.67000000001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>
        <v>0</v>
      </c>
      <c r="G235" s="18">
        <v>0</v>
      </c>
      <c r="H235" s="18">
        <v>0</v>
      </c>
      <c r="I235" s="18">
        <v>0</v>
      </c>
      <c r="J235" s="18">
        <v>0</v>
      </c>
      <c r="K235" s="18">
        <v>0</v>
      </c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>
        <v>0</v>
      </c>
      <c r="G238" s="18">
        <v>0</v>
      </c>
      <c r="H238" s="18">
        <f>922.56</f>
        <v>922.56</v>
      </c>
      <c r="I238" s="18">
        <v>0</v>
      </c>
      <c r="J238" s="18">
        <v>0</v>
      </c>
      <c r="K238" s="18">
        <v>0</v>
      </c>
      <c r="L238" s="19">
        <f t="shared" ref="L238:L244" si="4">SUM(F238:K238)</f>
        <v>922.56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>
        <v>0</v>
      </c>
      <c r="G239" s="18">
        <v>0</v>
      </c>
      <c r="H239" s="18">
        <v>0</v>
      </c>
      <c r="I239" s="18">
        <v>0</v>
      </c>
      <c r="J239" s="18">
        <v>0</v>
      </c>
      <c r="K239" s="18">
        <v>0</v>
      </c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>
        <v>0</v>
      </c>
      <c r="G240" s="18">
        <v>0</v>
      </c>
      <c r="H240" s="18">
        <v>0</v>
      </c>
      <c r="I240" s="18">
        <v>0</v>
      </c>
      <c r="J240" s="18">
        <v>0</v>
      </c>
      <c r="K240" s="18">
        <v>0</v>
      </c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>
        <v>0</v>
      </c>
      <c r="G241" s="18">
        <v>0</v>
      </c>
      <c r="H241" s="18">
        <v>0</v>
      </c>
      <c r="I241" s="18">
        <v>0</v>
      </c>
      <c r="J241" s="18">
        <v>0</v>
      </c>
      <c r="K241" s="18">
        <v>0</v>
      </c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>
        <v>0</v>
      </c>
      <c r="G243" s="18">
        <v>0</v>
      </c>
      <c r="H243" s="18">
        <v>0</v>
      </c>
      <c r="I243" s="18">
        <v>0</v>
      </c>
      <c r="J243" s="18">
        <v>0</v>
      </c>
      <c r="K243" s="18">
        <v>0</v>
      </c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>
        <v>0</v>
      </c>
      <c r="G244" s="18">
        <v>0</v>
      </c>
      <c r="H244" s="18">
        <v>32225</v>
      </c>
      <c r="I244" s="18">
        <v>0</v>
      </c>
      <c r="J244" s="18">
        <v>0</v>
      </c>
      <c r="K244" s="18">
        <v>0</v>
      </c>
      <c r="L244" s="19">
        <f t="shared" si="4"/>
        <v>32225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>
        <v>0</v>
      </c>
      <c r="G245" s="18">
        <v>0</v>
      </c>
      <c r="H245" s="18">
        <v>0</v>
      </c>
      <c r="I245" s="18">
        <v>0</v>
      </c>
      <c r="J245" s="18">
        <v>0</v>
      </c>
      <c r="K245" s="18">
        <v>0</v>
      </c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1876184.95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1876184.95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>
        <v>0</v>
      </c>
      <c r="G250" s="18">
        <v>0</v>
      </c>
      <c r="H250" s="18">
        <v>0</v>
      </c>
      <c r="I250" s="18">
        <v>0</v>
      </c>
      <c r="J250" s="18">
        <v>0</v>
      </c>
      <c r="K250" s="18">
        <v>0</v>
      </c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>
        <v>0</v>
      </c>
      <c r="G251" s="18">
        <v>0</v>
      </c>
      <c r="H251" s="18">
        <v>0</v>
      </c>
      <c r="I251" s="18">
        <v>0</v>
      </c>
      <c r="J251" s="18">
        <v>0</v>
      </c>
      <c r="K251" s="18">
        <v>0</v>
      </c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>
        <v>0</v>
      </c>
      <c r="G252" s="18">
        <v>0</v>
      </c>
      <c r="H252" s="18">
        <v>0</v>
      </c>
      <c r="I252" s="18">
        <v>0</v>
      </c>
      <c r="J252" s="18">
        <v>0</v>
      </c>
      <c r="K252" s="18">
        <v>0</v>
      </c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>
        <v>0</v>
      </c>
      <c r="G253" s="18">
        <v>0</v>
      </c>
      <c r="H253" s="18">
        <v>0</v>
      </c>
      <c r="I253" s="18">
        <v>0</v>
      </c>
      <c r="J253" s="18">
        <v>0</v>
      </c>
      <c r="K253" s="18">
        <v>149.75</v>
      </c>
      <c r="L253" s="19">
        <f t="shared" si="6"/>
        <v>149.75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>
        <v>0</v>
      </c>
      <c r="G254" s="18">
        <v>0</v>
      </c>
      <c r="H254" s="18">
        <v>0</v>
      </c>
      <c r="I254" s="18">
        <v>0</v>
      </c>
      <c r="J254" s="18">
        <v>0</v>
      </c>
      <c r="K254" s="18">
        <v>0</v>
      </c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>
        <v>0</v>
      </c>
      <c r="G255" s="18">
        <v>0</v>
      </c>
      <c r="H255" s="18">
        <v>0</v>
      </c>
      <c r="I255" s="18">
        <v>0</v>
      </c>
      <c r="J255" s="18">
        <v>0</v>
      </c>
      <c r="K255" s="18">
        <v>0</v>
      </c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149.75</v>
      </c>
      <c r="L256" s="41">
        <f>SUM(F256:K256)</f>
        <v>149.75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1742342.4000000004</v>
      </c>
      <c r="G257" s="41">
        <f t="shared" si="8"/>
        <v>652033.14</v>
      </c>
      <c r="H257" s="41">
        <f t="shared" si="8"/>
        <v>3238336.48</v>
      </c>
      <c r="I257" s="41">
        <f t="shared" si="8"/>
        <v>143176.01</v>
      </c>
      <c r="J257" s="41">
        <f t="shared" si="8"/>
        <v>31858.880000000001</v>
      </c>
      <c r="K257" s="41">
        <f t="shared" si="8"/>
        <v>5428.15</v>
      </c>
      <c r="L257" s="41">
        <f t="shared" si="8"/>
        <v>5813175.0600000005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>
        <v>37000</v>
      </c>
      <c r="L260" s="19">
        <f>SUM(F260:K260)</f>
        <v>37000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v>878.75</v>
      </c>
      <c r="L261" s="19">
        <f>SUM(F261:K261)</f>
        <v>878.75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v>9333.1200000000008</v>
      </c>
      <c r="L263" s="19">
        <f>SUM(F263:K263)</f>
        <v>9333.1200000000008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>
        <v>0</v>
      </c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>
        <v>0</v>
      </c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51000</v>
      </c>
      <c r="L266" s="19">
        <f t="shared" si="9"/>
        <v>51000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>
        <v>0</v>
      </c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>
        <v>0</v>
      </c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98211.87</v>
      </c>
      <c r="L270" s="41">
        <f t="shared" si="9"/>
        <v>98211.87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1742342.4000000004</v>
      </c>
      <c r="G271" s="42">
        <f t="shared" si="11"/>
        <v>652033.14</v>
      </c>
      <c r="H271" s="42">
        <f t="shared" si="11"/>
        <v>3238336.48</v>
      </c>
      <c r="I271" s="42">
        <f t="shared" si="11"/>
        <v>143176.01</v>
      </c>
      <c r="J271" s="42">
        <f t="shared" si="11"/>
        <v>31858.880000000001</v>
      </c>
      <c r="K271" s="42">
        <f t="shared" si="11"/>
        <v>103640.01999999999</v>
      </c>
      <c r="L271" s="42">
        <f t="shared" si="11"/>
        <v>5911386.9300000006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f>11180</f>
        <v>11180</v>
      </c>
      <c r="G276" s="18">
        <f>138.24+353.28+855.27+1751.91+45.22</f>
        <v>3143.9199999999996</v>
      </c>
      <c r="H276" s="18">
        <v>0</v>
      </c>
      <c r="I276" s="18">
        <v>0</v>
      </c>
      <c r="J276" s="18">
        <v>0</v>
      </c>
      <c r="K276" s="18">
        <f>280.92</f>
        <v>280.92</v>
      </c>
      <c r="L276" s="19">
        <f>SUM(F276:K276)</f>
        <v>14604.84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>
        <f>41458</f>
        <v>41458</v>
      </c>
      <c r="G277" s="18">
        <f>1598+477+3166.61+6496</f>
        <v>11737.61</v>
      </c>
      <c r="H277" s="18">
        <v>0</v>
      </c>
      <c r="I277" s="18">
        <v>0</v>
      </c>
      <c r="J277" s="18">
        <v>0</v>
      </c>
      <c r="K277" s="18">
        <f>1117.1</f>
        <v>1117.0999999999999</v>
      </c>
      <c r="L277" s="19">
        <f>SUM(F277:K277)</f>
        <v>54312.71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>
        <v>0</v>
      </c>
      <c r="G279" s="18">
        <v>0</v>
      </c>
      <c r="H279" s="18">
        <v>0</v>
      </c>
      <c r="I279" s="18">
        <v>0</v>
      </c>
      <c r="J279" s="18">
        <v>0</v>
      </c>
      <c r="K279" s="18">
        <v>0</v>
      </c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>
        <v>0</v>
      </c>
      <c r="G281" s="18">
        <v>0</v>
      </c>
      <c r="H281" s="18">
        <v>0</v>
      </c>
      <c r="I281" s="18">
        <f>412.74</f>
        <v>412.74</v>
      </c>
      <c r="J281" s="18">
        <v>0</v>
      </c>
      <c r="K281" s="18">
        <v>0</v>
      </c>
      <c r="L281" s="19">
        <f t="shared" ref="L281:L287" si="12">SUM(F281:K281)</f>
        <v>412.74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>
        <f>1500+4039.35</f>
        <v>5539.35</v>
      </c>
      <c r="G282" s="18">
        <f>114.75+235.05+160.65</f>
        <v>510.45000000000005</v>
      </c>
      <c r="H282" s="18">
        <f>12500</f>
        <v>12500</v>
      </c>
      <c r="I282" s="18">
        <v>0</v>
      </c>
      <c r="J282" s="18">
        <v>0</v>
      </c>
      <c r="K282" s="18">
        <v>0</v>
      </c>
      <c r="L282" s="19">
        <f t="shared" si="12"/>
        <v>18549.8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>
        <v>0</v>
      </c>
      <c r="G283" s="18">
        <v>0</v>
      </c>
      <c r="H283" s="18">
        <v>0</v>
      </c>
      <c r="I283" s="18">
        <v>0</v>
      </c>
      <c r="J283" s="18">
        <v>0</v>
      </c>
      <c r="K283" s="18">
        <v>0</v>
      </c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18">
        <v>0</v>
      </c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>
        <v>0</v>
      </c>
      <c r="G285" s="18">
        <v>0</v>
      </c>
      <c r="H285" s="18">
        <v>0</v>
      </c>
      <c r="I285" s="18">
        <v>0</v>
      </c>
      <c r="J285" s="18">
        <v>0</v>
      </c>
      <c r="K285" s="18">
        <v>0</v>
      </c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>
        <v>0</v>
      </c>
      <c r="G286" s="18">
        <v>0</v>
      </c>
      <c r="H286" s="18">
        <v>0</v>
      </c>
      <c r="I286" s="18">
        <v>0</v>
      </c>
      <c r="J286" s="18">
        <v>0</v>
      </c>
      <c r="K286" s="18">
        <v>0</v>
      </c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>
        <v>0</v>
      </c>
      <c r="G287" s="18">
        <v>0</v>
      </c>
      <c r="H287" s="18">
        <v>0</v>
      </c>
      <c r="I287" s="18">
        <v>0</v>
      </c>
      <c r="J287" s="18">
        <v>0</v>
      </c>
      <c r="K287" s="18">
        <v>0</v>
      </c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58177.35</v>
      </c>
      <c r="G290" s="42">
        <f t="shared" si="13"/>
        <v>15391.980000000001</v>
      </c>
      <c r="H290" s="42">
        <f t="shared" si="13"/>
        <v>12500</v>
      </c>
      <c r="I290" s="42">
        <f t="shared" si="13"/>
        <v>412.74</v>
      </c>
      <c r="J290" s="42">
        <f t="shared" si="13"/>
        <v>0</v>
      </c>
      <c r="K290" s="42">
        <f t="shared" si="13"/>
        <v>1398.02</v>
      </c>
      <c r="L290" s="41">
        <f t="shared" si="13"/>
        <v>87880.090000000011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>
        <v>0</v>
      </c>
      <c r="G296" s="18">
        <v>0</v>
      </c>
      <c r="H296" s="18">
        <v>0</v>
      </c>
      <c r="I296" s="18">
        <v>0</v>
      </c>
      <c r="J296" s="18">
        <v>0</v>
      </c>
      <c r="K296" s="18">
        <v>0</v>
      </c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>
        <v>0</v>
      </c>
      <c r="G297" s="18">
        <v>0</v>
      </c>
      <c r="H297" s="18">
        <v>0</v>
      </c>
      <c r="I297" s="18">
        <v>0</v>
      </c>
      <c r="J297" s="18">
        <v>0</v>
      </c>
      <c r="K297" s="18">
        <v>0</v>
      </c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>
        <v>0</v>
      </c>
      <c r="G298" s="18">
        <v>0</v>
      </c>
      <c r="H298" s="18">
        <v>0</v>
      </c>
      <c r="I298" s="18">
        <v>0</v>
      </c>
      <c r="J298" s="18">
        <v>0</v>
      </c>
      <c r="K298" s="18">
        <v>0</v>
      </c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>
        <v>0</v>
      </c>
      <c r="G300" s="18">
        <v>0</v>
      </c>
      <c r="H300" s="18">
        <v>0</v>
      </c>
      <c r="I300" s="18">
        <v>0</v>
      </c>
      <c r="J300" s="18">
        <v>0</v>
      </c>
      <c r="K300" s="18">
        <v>0</v>
      </c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>
        <v>0</v>
      </c>
      <c r="G301" s="18">
        <v>0</v>
      </c>
      <c r="H301" s="18">
        <v>0</v>
      </c>
      <c r="I301" s="18">
        <v>0</v>
      </c>
      <c r="J301" s="18">
        <v>0</v>
      </c>
      <c r="K301" s="18">
        <v>0</v>
      </c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>
        <v>0</v>
      </c>
      <c r="G305" s="18">
        <v>0</v>
      </c>
      <c r="H305" s="18">
        <v>0</v>
      </c>
      <c r="I305" s="18">
        <v>0</v>
      </c>
      <c r="J305" s="18">
        <v>0</v>
      </c>
      <c r="K305" s="18">
        <v>0</v>
      </c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>
        <v>0</v>
      </c>
      <c r="G307" s="18">
        <v>0</v>
      </c>
      <c r="H307" s="18">
        <v>0</v>
      </c>
      <c r="I307" s="18">
        <v>0</v>
      </c>
      <c r="J307" s="18">
        <v>0</v>
      </c>
      <c r="K307" s="18">
        <v>0</v>
      </c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>
        <v>0</v>
      </c>
      <c r="G314" s="18">
        <v>0</v>
      </c>
      <c r="H314" s="18">
        <v>0</v>
      </c>
      <c r="I314" s="18">
        <v>0</v>
      </c>
      <c r="J314" s="18">
        <v>0</v>
      </c>
      <c r="K314" s="18">
        <v>0</v>
      </c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0</v>
      </c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>
        <v>0</v>
      </c>
      <c r="G317" s="18">
        <v>0</v>
      </c>
      <c r="H317" s="18">
        <v>0</v>
      </c>
      <c r="I317" s="18">
        <v>0</v>
      </c>
      <c r="J317" s="18">
        <v>0</v>
      </c>
      <c r="K317" s="18">
        <v>0</v>
      </c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>
        <v>0</v>
      </c>
      <c r="G320" s="18">
        <v>0</v>
      </c>
      <c r="H320" s="18">
        <v>0</v>
      </c>
      <c r="I320" s="18">
        <v>0</v>
      </c>
      <c r="J320" s="18">
        <v>0</v>
      </c>
      <c r="K320" s="18">
        <v>0</v>
      </c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>
        <v>0</v>
      </c>
      <c r="G321" s="18">
        <v>0</v>
      </c>
      <c r="H321" s="18">
        <v>0</v>
      </c>
      <c r="I321" s="18">
        <v>0</v>
      </c>
      <c r="J321" s="18">
        <v>0</v>
      </c>
      <c r="K321" s="18">
        <v>0</v>
      </c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>
        <v>0</v>
      </c>
      <c r="G323" s="18">
        <v>0</v>
      </c>
      <c r="H323" s="18">
        <v>0</v>
      </c>
      <c r="I323" s="18">
        <v>0</v>
      </c>
      <c r="J323" s="18">
        <v>0</v>
      </c>
      <c r="K323" s="18">
        <v>0</v>
      </c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>
        <v>0</v>
      </c>
      <c r="G326" s="18">
        <v>0</v>
      </c>
      <c r="H326" s="18">
        <v>0</v>
      </c>
      <c r="I326" s="18">
        <v>0</v>
      </c>
      <c r="J326" s="18">
        <v>0</v>
      </c>
      <c r="K326" s="18">
        <v>0</v>
      </c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>
        <v>0</v>
      </c>
      <c r="G332" s="18">
        <v>0</v>
      </c>
      <c r="H332" s="18">
        <v>0</v>
      </c>
      <c r="I332" s="18">
        <v>0</v>
      </c>
      <c r="J332" s="18">
        <v>0</v>
      </c>
      <c r="K332" s="18">
        <v>0</v>
      </c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>
        <v>0</v>
      </c>
      <c r="G333" s="18">
        <v>0</v>
      </c>
      <c r="H333" s="18">
        <v>0</v>
      </c>
      <c r="I333" s="18">
        <v>0</v>
      </c>
      <c r="J333" s="18">
        <v>0</v>
      </c>
      <c r="K333" s="18">
        <v>0</v>
      </c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>
        <v>0</v>
      </c>
      <c r="G334" s="18">
        <v>0</v>
      </c>
      <c r="H334" s="18">
        <v>0</v>
      </c>
      <c r="I334" s="18">
        <v>0</v>
      </c>
      <c r="J334" s="18">
        <v>0</v>
      </c>
      <c r="K334" s="18">
        <v>0</v>
      </c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0</v>
      </c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>
        <v>0</v>
      </c>
      <c r="G336" s="18">
        <v>0</v>
      </c>
      <c r="H336" s="18">
        <v>0</v>
      </c>
      <c r="I336" s="18">
        <v>0</v>
      </c>
      <c r="J336" s="18">
        <v>0</v>
      </c>
      <c r="K336" s="18">
        <v>0</v>
      </c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58177.35</v>
      </c>
      <c r="G338" s="41">
        <f t="shared" si="20"/>
        <v>15391.980000000001</v>
      </c>
      <c r="H338" s="41">
        <f t="shared" si="20"/>
        <v>12500</v>
      </c>
      <c r="I338" s="41">
        <f t="shared" si="20"/>
        <v>412.74</v>
      </c>
      <c r="J338" s="41">
        <f t="shared" si="20"/>
        <v>0</v>
      </c>
      <c r="K338" s="41">
        <f t="shared" si="20"/>
        <v>1398.02</v>
      </c>
      <c r="L338" s="41">
        <f t="shared" si="20"/>
        <v>87880.090000000011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>
        <v>0</v>
      </c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>
        <v>0</v>
      </c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>
        <v>0</v>
      </c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>
        <v>0</v>
      </c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>
        <v>0</v>
      </c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>
        <v>0</v>
      </c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>
        <v>0</v>
      </c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>
        <v>0</v>
      </c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58177.35</v>
      </c>
      <c r="G352" s="41">
        <f>G338</f>
        <v>15391.980000000001</v>
      </c>
      <c r="H352" s="41">
        <f>H338</f>
        <v>12500</v>
      </c>
      <c r="I352" s="41">
        <f>I338</f>
        <v>412.74</v>
      </c>
      <c r="J352" s="41">
        <f>J338</f>
        <v>0</v>
      </c>
      <c r="K352" s="47">
        <f>K338+K351</f>
        <v>1398.02</v>
      </c>
      <c r="L352" s="41">
        <f>L338+L351</f>
        <v>87880.090000000011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v>30670.66</v>
      </c>
      <c r="G358" s="18">
        <v>3972.84</v>
      </c>
      <c r="H358" s="18">
        <f>1487.35</f>
        <v>1487.35</v>
      </c>
      <c r="I358" s="18">
        <f>469.77+31374.52+3110.92+3128.96</f>
        <v>38084.17</v>
      </c>
      <c r="J358" s="18">
        <v>55.25</v>
      </c>
      <c r="K358" s="18">
        <v>0</v>
      </c>
      <c r="L358" s="13">
        <f>SUM(F358:K358)</f>
        <v>74270.26999999999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>
        <v>0</v>
      </c>
      <c r="G359" s="18">
        <v>0</v>
      </c>
      <c r="H359" s="18">
        <v>0</v>
      </c>
      <c r="I359" s="18">
        <v>0</v>
      </c>
      <c r="J359" s="18">
        <v>0</v>
      </c>
      <c r="K359" s="18">
        <v>0</v>
      </c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>
        <v>0</v>
      </c>
      <c r="G360" s="18">
        <v>0</v>
      </c>
      <c r="H360" s="18">
        <v>0</v>
      </c>
      <c r="I360" s="18">
        <v>0</v>
      </c>
      <c r="J360" s="18">
        <v>0</v>
      </c>
      <c r="K360" s="18">
        <v>0</v>
      </c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>
        <v>0</v>
      </c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30670.66</v>
      </c>
      <c r="G362" s="47">
        <f t="shared" si="22"/>
        <v>3972.84</v>
      </c>
      <c r="H362" s="47">
        <f t="shared" si="22"/>
        <v>1487.35</v>
      </c>
      <c r="I362" s="47">
        <f t="shared" si="22"/>
        <v>38084.17</v>
      </c>
      <c r="J362" s="47">
        <f t="shared" si="22"/>
        <v>55.25</v>
      </c>
      <c r="K362" s="47">
        <f t="shared" si="22"/>
        <v>0</v>
      </c>
      <c r="L362" s="47">
        <f t="shared" si="22"/>
        <v>74270.26999999999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f>I362-F368</f>
        <v>37616.400000000001</v>
      </c>
      <c r="G367" s="18">
        <v>0</v>
      </c>
      <c r="H367" s="18">
        <v>0</v>
      </c>
      <c r="I367" s="56">
        <f>SUM(F367:H367)</f>
        <v>37616.400000000001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v>467.77</v>
      </c>
      <c r="G368" s="63">
        <v>0</v>
      </c>
      <c r="H368" s="63">
        <v>0</v>
      </c>
      <c r="I368" s="56">
        <f>SUM(F368:H368)</f>
        <v>467.77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38084.17</v>
      </c>
      <c r="G369" s="47">
        <f>SUM(G367:G368)</f>
        <v>0</v>
      </c>
      <c r="H369" s="47">
        <f>SUM(H367:H368)</f>
        <v>0</v>
      </c>
      <c r="I369" s="47">
        <f>SUM(I367:I368)</f>
        <v>38084.17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>
        <v>0</v>
      </c>
      <c r="G374" s="18">
        <v>0</v>
      </c>
      <c r="H374" s="18">
        <v>0</v>
      </c>
      <c r="I374" s="18">
        <v>0</v>
      </c>
      <c r="J374" s="18">
        <v>0</v>
      </c>
      <c r="K374" s="18">
        <v>0</v>
      </c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>
        <v>0</v>
      </c>
      <c r="G377" s="18">
        <v>0</v>
      </c>
      <c r="H377" s="18">
        <v>0</v>
      </c>
      <c r="I377" s="18">
        <v>0</v>
      </c>
      <c r="J377" s="18">
        <v>0</v>
      </c>
      <c r="K377" s="18">
        <v>0</v>
      </c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>
        <v>0</v>
      </c>
      <c r="G378" s="18">
        <v>0</v>
      </c>
      <c r="H378" s="18">
        <v>0</v>
      </c>
      <c r="I378" s="18">
        <v>0</v>
      </c>
      <c r="J378" s="18">
        <v>0</v>
      </c>
      <c r="K378" s="18">
        <v>0</v>
      </c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>
        <v>0</v>
      </c>
      <c r="G379" s="18">
        <v>0</v>
      </c>
      <c r="H379" s="18">
        <v>0</v>
      </c>
      <c r="I379" s="18">
        <v>0</v>
      </c>
      <c r="J379" s="18">
        <v>0</v>
      </c>
      <c r="K379" s="18">
        <v>0</v>
      </c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>
        <v>0</v>
      </c>
      <c r="G380" s="18">
        <v>0</v>
      </c>
      <c r="H380" s="18">
        <v>0</v>
      </c>
      <c r="I380" s="18">
        <v>0</v>
      </c>
      <c r="J380" s="18">
        <v>0</v>
      </c>
      <c r="K380" s="18">
        <v>0</v>
      </c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>
        <v>0</v>
      </c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>
        <v>0</v>
      </c>
      <c r="G387" s="18">
        <v>0</v>
      </c>
      <c r="H387" s="18">
        <v>0</v>
      </c>
      <c r="I387" s="18">
        <v>0</v>
      </c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>
        <v>0</v>
      </c>
      <c r="G388" s="18">
        <v>0</v>
      </c>
      <c r="H388" s="18">
        <v>0</v>
      </c>
      <c r="I388" s="18">
        <v>0</v>
      </c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>
        <v>0</v>
      </c>
      <c r="G389" s="18">
        <v>0</v>
      </c>
      <c r="H389" s="18">
        <v>0</v>
      </c>
      <c r="I389" s="18">
        <v>0</v>
      </c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>
        <v>0</v>
      </c>
      <c r="G390" s="18">
        <v>0</v>
      </c>
      <c r="H390" s="18">
        <v>0</v>
      </c>
      <c r="I390" s="18">
        <v>0</v>
      </c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>
        <v>0</v>
      </c>
      <c r="G391" s="18">
        <v>0</v>
      </c>
      <c r="H391" s="18">
        <v>0</v>
      </c>
      <c r="I391" s="18">
        <v>0</v>
      </c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>
        <v>0</v>
      </c>
      <c r="G392" s="18">
        <v>0</v>
      </c>
      <c r="H392" s="18">
        <v>0</v>
      </c>
      <c r="I392" s="18">
        <v>0</v>
      </c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>
        <v>0</v>
      </c>
      <c r="G395" s="18">
        <v>0</v>
      </c>
      <c r="H395" s="18">
        <v>0</v>
      </c>
      <c r="I395" s="18">
        <v>0</v>
      </c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>
        <v>50000</v>
      </c>
      <c r="G396" s="18">
        <v>0</v>
      </c>
      <c r="H396" s="18">
        <f>470.06</f>
        <v>470.06</v>
      </c>
      <c r="I396" s="18">
        <v>0</v>
      </c>
      <c r="J396" s="24" t="s">
        <v>288</v>
      </c>
      <c r="K396" s="24" t="s">
        <v>288</v>
      </c>
      <c r="L396" s="56">
        <f t="shared" si="26"/>
        <v>50470.06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>
        <v>0</v>
      </c>
      <c r="G397" s="18">
        <v>0</v>
      </c>
      <c r="H397" s="18">
        <v>737.74</v>
      </c>
      <c r="I397" s="18">
        <v>0</v>
      </c>
      <c r="J397" s="24" t="s">
        <v>288</v>
      </c>
      <c r="K397" s="24" t="s">
        <v>288</v>
      </c>
      <c r="L397" s="56">
        <f t="shared" si="26"/>
        <v>737.74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>
        <v>0</v>
      </c>
      <c r="G398" s="18">
        <v>0</v>
      </c>
      <c r="H398" s="18">
        <v>0</v>
      </c>
      <c r="I398" s="18">
        <v>0</v>
      </c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>
        <v>0</v>
      </c>
      <c r="G399" s="18">
        <v>0</v>
      </c>
      <c r="H399" s="18">
        <v>0</v>
      </c>
      <c r="I399" s="18">
        <v>0</v>
      </c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>
        <v>0</v>
      </c>
      <c r="G400" s="18">
        <v>51000</v>
      </c>
      <c r="H400" s="18">
        <f>20.54+23.96</f>
        <v>44.5</v>
      </c>
      <c r="I400" s="18">
        <v>0</v>
      </c>
      <c r="J400" s="24" t="s">
        <v>288</v>
      </c>
      <c r="K400" s="24" t="s">
        <v>288</v>
      </c>
      <c r="L400" s="56">
        <f t="shared" si="26"/>
        <v>51044.5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50000</v>
      </c>
      <c r="G401" s="47">
        <f>SUM(G395:G400)</f>
        <v>51000</v>
      </c>
      <c r="H401" s="47">
        <f>SUM(H395:H400)</f>
        <v>1252.3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102252.29999999999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>
        <v>0</v>
      </c>
      <c r="G403" s="18">
        <v>0</v>
      </c>
      <c r="H403" s="18">
        <v>0</v>
      </c>
      <c r="I403" s="18">
        <v>0</v>
      </c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>
        <v>0</v>
      </c>
      <c r="G404" s="18">
        <v>0</v>
      </c>
      <c r="H404" s="18">
        <v>0</v>
      </c>
      <c r="I404" s="18">
        <v>0</v>
      </c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>
        <v>0</v>
      </c>
      <c r="G405" s="18">
        <v>0</v>
      </c>
      <c r="H405" s="18">
        <v>0</v>
      </c>
      <c r="I405" s="18">
        <v>0</v>
      </c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>
        <v>0</v>
      </c>
      <c r="G406" s="18">
        <v>0</v>
      </c>
      <c r="H406" s="18">
        <v>0</v>
      </c>
      <c r="I406" s="18">
        <v>0</v>
      </c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50000</v>
      </c>
      <c r="G408" s="47">
        <f>G393+G401+G407</f>
        <v>51000</v>
      </c>
      <c r="H408" s="47">
        <f>H393+H401+H407</f>
        <v>1252.3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102252.29999999999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>
        <v>0</v>
      </c>
      <c r="G417" s="18">
        <v>0</v>
      </c>
      <c r="H417" s="18">
        <v>0</v>
      </c>
      <c r="I417" s="18">
        <v>0</v>
      </c>
      <c r="J417" s="18">
        <v>0</v>
      </c>
      <c r="K417" s="18">
        <v>0</v>
      </c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>
        <v>0</v>
      </c>
      <c r="G418" s="18">
        <v>0</v>
      </c>
      <c r="H418" s="18">
        <v>0</v>
      </c>
      <c r="I418" s="18">
        <v>0</v>
      </c>
      <c r="J418" s="18">
        <v>0</v>
      </c>
      <c r="K418" s="18">
        <v>0</v>
      </c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>
        <v>0</v>
      </c>
      <c r="G421" s="18">
        <v>0</v>
      </c>
      <c r="H421" s="18">
        <v>0</v>
      </c>
      <c r="I421" s="18">
        <v>0</v>
      </c>
      <c r="J421" s="18">
        <v>0</v>
      </c>
      <c r="K421" s="18">
        <v>0</v>
      </c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>
        <v>0</v>
      </c>
      <c r="G422" s="18">
        <v>0</v>
      </c>
      <c r="H422" s="18">
        <v>0</v>
      </c>
      <c r="I422" s="18">
        <v>0</v>
      </c>
      <c r="J422" s="18">
        <v>0</v>
      </c>
      <c r="K422" s="18">
        <v>0</v>
      </c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>
        <v>0</v>
      </c>
      <c r="G426" s="18">
        <v>0</v>
      </c>
      <c r="H426" s="18">
        <v>0</v>
      </c>
      <c r="I426" s="18">
        <v>0</v>
      </c>
      <c r="J426" s="18">
        <v>0</v>
      </c>
      <c r="K426" s="18">
        <v>0</v>
      </c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>
        <v>0</v>
      </c>
      <c r="G429" s="18">
        <v>0</v>
      </c>
      <c r="H429" s="18">
        <v>0</v>
      </c>
      <c r="I429" s="18">
        <v>0</v>
      </c>
      <c r="J429" s="18">
        <v>0</v>
      </c>
      <c r="K429" s="18">
        <v>0</v>
      </c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>
        <v>0</v>
      </c>
      <c r="G430" s="18">
        <v>0</v>
      </c>
      <c r="H430" s="18">
        <v>0</v>
      </c>
      <c r="I430" s="18">
        <v>0</v>
      </c>
      <c r="J430" s="18">
        <v>0</v>
      </c>
      <c r="K430" s="18">
        <v>0</v>
      </c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>
        <v>0</v>
      </c>
      <c r="G431" s="18">
        <v>0</v>
      </c>
      <c r="H431" s="18">
        <v>0</v>
      </c>
      <c r="I431" s="18">
        <v>0</v>
      </c>
      <c r="J431" s="18">
        <v>0</v>
      </c>
      <c r="K431" s="18">
        <v>0</v>
      </c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>
        <v>0</v>
      </c>
      <c r="G432" s="18">
        <v>0</v>
      </c>
      <c r="H432" s="18">
        <v>0</v>
      </c>
      <c r="I432" s="18">
        <v>0</v>
      </c>
      <c r="J432" s="18">
        <v>0</v>
      </c>
      <c r="K432" s="18">
        <v>0</v>
      </c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>
        <v>0</v>
      </c>
      <c r="G439" s="18">
        <v>0</v>
      </c>
      <c r="H439" s="18">
        <v>0</v>
      </c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>
        <v>0</v>
      </c>
      <c r="G440" s="18">
        <v>0</v>
      </c>
      <c r="H440" s="18">
        <v>0</v>
      </c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>
        <f>82808.1+3052.9+31884.75+50000</f>
        <v>167745.75</v>
      </c>
      <c r="G441" s="18">
        <v>109159.9</v>
      </c>
      <c r="H441" s="18">
        <v>0</v>
      </c>
      <c r="I441" s="56">
        <f t="shared" si="33"/>
        <v>276905.65000000002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>
        <v>0</v>
      </c>
      <c r="G442" s="18">
        <v>0</v>
      </c>
      <c r="H442" s="18">
        <v>0</v>
      </c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>
        <v>0</v>
      </c>
      <c r="G443" s="18">
        <v>0</v>
      </c>
      <c r="H443" s="18">
        <v>0</v>
      </c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>
        <v>0</v>
      </c>
      <c r="G444" s="18">
        <v>0</v>
      </c>
      <c r="H444" s="18">
        <v>0</v>
      </c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>
        <v>0</v>
      </c>
      <c r="G445" s="18">
        <v>0</v>
      </c>
      <c r="H445" s="18">
        <v>0</v>
      </c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167745.75</v>
      </c>
      <c r="G446" s="13">
        <f>SUM(G439:G445)</f>
        <v>109159.9</v>
      </c>
      <c r="H446" s="13">
        <f>SUM(H439:H445)</f>
        <v>0</v>
      </c>
      <c r="I446" s="13">
        <f>SUM(I439:I445)</f>
        <v>276905.65000000002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>
        <v>0</v>
      </c>
      <c r="G448" s="18">
        <v>0</v>
      </c>
      <c r="H448" s="18">
        <v>0</v>
      </c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>
        <v>0</v>
      </c>
      <c r="G449" s="18">
        <v>0</v>
      </c>
      <c r="H449" s="18">
        <v>0</v>
      </c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>
        <v>0</v>
      </c>
      <c r="G450" s="18">
        <v>0</v>
      </c>
      <c r="H450" s="18">
        <v>0</v>
      </c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>
        <v>0</v>
      </c>
      <c r="G451" s="18">
        <v>0</v>
      </c>
      <c r="H451" s="18">
        <v>0</v>
      </c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>
        <v>0</v>
      </c>
      <c r="G454" s="18">
        <v>0</v>
      </c>
      <c r="H454" s="18">
        <v>0</v>
      </c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>
        <v>0</v>
      </c>
      <c r="G455" s="18">
        <v>0</v>
      </c>
      <c r="H455" s="18">
        <v>0</v>
      </c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>
        <v>0</v>
      </c>
      <c r="G456" s="18">
        <v>0</v>
      </c>
      <c r="H456" s="18">
        <v>0</v>
      </c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>
        <v>0</v>
      </c>
      <c r="G457" s="18">
        <v>0</v>
      </c>
      <c r="H457" s="18">
        <v>0</v>
      </c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>
        <v>0</v>
      </c>
      <c r="G458" s="18">
        <v>0</v>
      </c>
      <c r="H458" s="18">
        <v>0</v>
      </c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>
        <f>F441</f>
        <v>167745.75</v>
      </c>
      <c r="G459" s="18">
        <f>G441</f>
        <v>109159.9</v>
      </c>
      <c r="H459" s="18">
        <v>0</v>
      </c>
      <c r="I459" s="56">
        <f t="shared" si="34"/>
        <v>276905.65000000002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167745.75</v>
      </c>
      <c r="G460" s="83">
        <f>SUM(G454:G459)</f>
        <v>109159.9</v>
      </c>
      <c r="H460" s="83">
        <f>SUM(H454:H459)</f>
        <v>0</v>
      </c>
      <c r="I460" s="83">
        <f>SUM(I454:I459)</f>
        <v>276905.65000000002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167745.75</v>
      </c>
      <c r="G461" s="42">
        <f>G452+G460</f>
        <v>109159.9</v>
      </c>
      <c r="H461" s="42">
        <f>H452+H460</f>
        <v>0</v>
      </c>
      <c r="I461" s="42">
        <f>I452+I460</f>
        <v>276905.65000000002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334119.43</v>
      </c>
      <c r="G465" s="18">
        <v>0</v>
      </c>
      <c r="H465" s="18">
        <v>0</v>
      </c>
      <c r="I465" s="18">
        <v>0</v>
      </c>
      <c r="J465" s="18">
        <f>32338.04+108422.16+2032.36+31860.79</f>
        <v>174653.35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f>F193</f>
        <v>5982467.4400000004</v>
      </c>
      <c r="G468" s="18">
        <f>G193</f>
        <v>74270.26999999999</v>
      </c>
      <c r="H468" s="18">
        <f>H193</f>
        <v>87880.09</v>
      </c>
      <c r="I468" s="18">
        <v>0</v>
      </c>
      <c r="J468" s="18">
        <f>J193</f>
        <v>102252.3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>
        <v>0</v>
      </c>
      <c r="G469" s="18">
        <v>0</v>
      </c>
      <c r="H469" s="18">
        <v>0</v>
      </c>
      <c r="I469" s="18">
        <v>0</v>
      </c>
      <c r="J469" s="18">
        <v>0</v>
      </c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5982467.4400000004</v>
      </c>
      <c r="G470" s="53">
        <f>SUM(G468:G469)</f>
        <v>74270.26999999999</v>
      </c>
      <c r="H470" s="53">
        <f>SUM(H468:H469)</f>
        <v>87880.09</v>
      </c>
      <c r="I470" s="53">
        <f>SUM(I468:I469)</f>
        <v>0</v>
      </c>
      <c r="J470" s="53">
        <f>SUM(J468:J469)</f>
        <v>102252.3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f>L271</f>
        <v>5911386.9300000006</v>
      </c>
      <c r="G472" s="18">
        <f>L362</f>
        <v>74270.26999999999</v>
      </c>
      <c r="H472" s="18">
        <f>L352</f>
        <v>87880.090000000011</v>
      </c>
      <c r="I472" s="18">
        <v>0</v>
      </c>
      <c r="J472" s="18">
        <f>L434</f>
        <v>0</v>
      </c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>
        <v>0</v>
      </c>
      <c r="G473" s="18">
        <v>0</v>
      </c>
      <c r="H473" s="18">
        <v>0</v>
      </c>
      <c r="I473" s="18">
        <v>0</v>
      </c>
      <c r="J473" s="18">
        <v>0</v>
      </c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5911386.9300000006</v>
      </c>
      <c r="G474" s="53">
        <f>SUM(G472:G473)</f>
        <v>74270.26999999999</v>
      </c>
      <c r="H474" s="53">
        <f>SUM(H472:H473)</f>
        <v>87880.090000000011</v>
      </c>
      <c r="I474" s="53">
        <f>SUM(I472:I473)</f>
        <v>0</v>
      </c>
      <c r="J474" s="53">
        <f>SUM(J472:J473)</f>
        <v>0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405199.93999999948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276905.65000000002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>
        <v>10</v>
      </c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 t="s">
        <v>912</v>
      </c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 t="s">
        <v>913</v>
      </c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>
        <v>487000</v>
      </c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>
        <v>4.75</v>
      </c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>
        <v>37000</v>
      </c>
      <c r="G495" s="18"/>
      <c r="H495" s="18"/>
      <c r="I495" s="18"/>
      <c r="J495" s="18"/>
      <c r="K495" s="53">
        <f>SUM(F495:J495)</f>
        <v>37000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>
        <v>37000</v>
      </c>
      <c r="G497" s="18"/>
      <c r="H497" s="18"/>
      <c r="I497" s="18"/>
      <c r="J497" s="18"/>
      <c r="K497" s="53">
        <f t="shared" si="35"/>
        <v>37000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>
        <v>0</v>
      </c>
      <c r="G498" s="204"/>
      <c r="H498" s="204"/>
      <c r="I498" s="204"/>
      <c r="J498" s="204"/>
      <c r="K498" s="205">
        <f t="shared" si="35"/>
        <v>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>
        <v>0</v>
      </c>
      <c r="G499" s="18"/>
      <c r="H499" s="18"/>
      <c r="I499" s="18"/>
      <c r="J499" s="18"/>
      <c r="K499" s="53">
        <f t="shared" si="35"/>
        <v>0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>
        <v>0</v>
      </c>
      <c r="G501" s="204"/>
      <c r="H501" s="204"/>
      <c r="I501" s="204"/>
      <c r="J501" s="204"/>
      <c r="K501" s="205">
        <f t="shared" si="35"/>
        <v>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>
        <v>0</v>
      </c>
      <c r="G502" s="18"/>
      <c r="H502" s="18"/>
      <c r="I502" s="18"/>
      <c r="J502" s="18"/>
      <c r="K502" s="53">
        <f t="shared" si="35"/>
        <v>0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f>F198+F277</f>
        <v>323526.5</v>
      </c>
      <c r="G521" s="18">
        <f t="shared" ref="G521:K521" si="36">G198+G277</f>
        <v>111263.56</v>
      </c>
      <c r="H521" s="18">
        <f t="shared" si="36"/>
        <v>40048.329999999994</v>
      </c>
      <c r="I521" s="18">
        <f t="shared" si="36"/>
        <v>5985.3600000000006</v>
      </c>
      <c r="J521" s="18">
        <f t="shared" si="36"/>
        <v>3367.86</v>
      </c>
      <c r="K521" s="18">
        <f t="shared" si="36"/>
        <v>1467.1</v>
      </c>
      <c r="L521" s="88">
        <f>SUM(F521:K521)</f>
        <v>485658.70999999996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>
        <f>F216+F296</f>
        <v>0</v>
      </c>
      <c r="G522" s="18">
        <f t="shared" ref="G522:K522" si="37">G216+G296</f>
        <v>0</v>
      </c>
      <c r="H522" s="18">
        <f t="shared" si="37"/>
        <v>44453.5</v>
      </c>
      <c r="I522" s="18">
        <f t="shared" si="37"/>
        <v>0</v>
      </c>
      <c r="J522" s="18">
        <f t="shared" si="37"/>
        <v>0</v>
      </c>
      <c r="K522" s="18">
        <f t="shared" si="37"/>
        <v>0</v>
      </c>
      <c r="L522" s="88">
        <f>SUM(F522:K522)</f>
        <v>44453.5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>
        <f>F234+F315</f>
        <v>0</v>
      </c>
      <c r="G523" s="18">
        <f t="shared" ref="G523:K523" si="38">G234+G315</f>
        <v>0</v>
      </c>
      <c r="H523" s="18">
        <f t="shared" si="38"/>
        <v>148853.67000000001</v>
      </c>
      <c r="I523" s="18">
        <f t="shared" si="38"/>
        <v>0</v>
      </c>
      <c r="J523" s="18">
        <f t="shared" si="38"/>
        <v>0</v>
      </c>
      <c r="K523" s="18">
        <f t="shared" si="38"/>
        <v>0</v>
      </c>
      <c r="L523" s="88">
        <f>SUM(F523:K523)</f>
        <v>148853.67000000001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323526.5</v>
      </c>
      <c r="G524" s="108">
        <f t="shared" ref="G524:L524" si="39">SUM(G521:G523)</f>
        <v>111263.56</v>
      </c>
      <c r="H524" s="108">
        <f t="shared" si="39"/>
        <v>233355.5</v>
      </c>
      <c r="I524" s="108">
        <f t="shared" si="39"/>
        <v>5985.3600000000006</v>
      </c>
      <c r="J524" s="108">
        <f t="shared" si="39"/>
        <v>3367.86</v>
      </c>
      <c r="K524" s="108">
        <f t="shared" si="39"/>
        <v>1467.1</v>
      </c>
      <c r="L524" s="89">
        <f t="shared" si="39"/>
        <v>678965.88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f>44860.64+36190.34+43756.77</f>
        <v>124807.75</v>
      </c>
      <c r="G526" s="18">
        <f>15234.36+25348.79</f>
        <v>40583.15</v>
      </c>
      <c r="H526" s="18">
        <f>34239.6+715+2331.25+3362.78+12694.83+840</f>
        <v>54183.46</v>
      </c>
      <c r="I526" s="18">
        <f>977.2+688.4</f>
        <v>1665.6</v>
      </c>
      <c r="J526" s="18">
        <v>0</v>
      </c>
      <c r="K526" s="18">
        <v>0</v>
      </c>
      <c r="L526" s="88">
        <f>SUM(F526:K526)</f>
        <v>221239.96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>
        <v>0</v>
      </c>
      <c r="G527" s="18">
        <v>0</v>
      </c>
      <c r="H527" s="18">
        <f>177.44</f>
        <v>177.44</v>
      </c>
      <c r="I527" s="18">
        <v>0</v>
      </c>
      <c r="J527" s="18">
        <v>0</v>
      </c>
      <c r="K527" s="18">
        <v>0</v>
      </c>
      <c r="L527" s="88">
        <f>SUM(F527:K527)</f>
        <v>177.44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>
        <v>0</v>
      </c>
      <c r="G528" s="18">
        <v>0</v>
      </c>
      <c r="H528" s="18">
        <f>922.56</f>
        <v>922.56</v>
      </c>
      <c r="I528" s="18">
        <v>0</v>
      </c>
      <c r="J528" s="18">
        <v>0</v>
      </c>
      <c r="K528" s="18">
        <v>0</v>
      </c>
      <c r="L528" s="88">
        <f>SUM(F528:K528)</f>
        <v>922.56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124807.75</v>
      </c>
      <c r="G529" s="89">
        <f t="shared" ref="G529:L529" si="40">SUM(G526:G528)</f>
        <v>40583.15</v>
      </c>
      <c r="H529" s="89">
        <f t="shared" si="40"/>
        <v>55283.46</v>
      </c>
      <c r="I529" s="89">
        <f t="shared" si="40"/>
        <v>1665.6</v>
      </c>
      <c r="J529" s="89">
        <f t="shared" si="40"/>
        <v>0</v>
      </c>
      <c r="K529" s="89">
        <f t="shared" si="40"/>
        <v>0</v>
      </c>
      <c r="L529" s="89">
        <f t="shared" si="40"/>
        <v>222339.96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v>0</v>
      </c>
      <c r="G531" s="18">
        <v>0</v>
      </c>
      <c r="H531" s="18">
        <v>24969.09</v>
      </c>
      <c r="I531" s="18">
        <v>0</v>
      </c>
      <c r="J531" s="18">
        <v>0</v>
      </c>
      <c r="K531" s="18">
        <v>0</v>
      </c>
      <c r="L531" s="88">
        <f>SUM(F531:K531)</f>
        <v>24969.09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>
        <v>0</v>
      </c>
      <c r="G532" s="18">
        <v>0</v>
      </c>
      <c r="H532" s="18">
        <v>0</v>
      </c>
      <c r="I532" s="18">
        <v>0</v>
      </c>
      <c r="J532" s="18">
        <v>0</v>
      </c>
      <c r="K532" s="18">
        <v>0</v>
      </c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>
        <v>0</v>
      </c>
      <c r="G533" s="18">
        <v>0</v>
      </c>
      <c r="H533" s="18">
        <v>0</v>
      </c>
      <c r="I533" s="18">
        <v>0</v>
      </c>
      <c r="J533" s="18">
        <v>0</v>
      </c>
      <c r="K533" s="18">
        <v>0</v>
      </c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0</v>
      </c>
      <c r="G534" s="89">
        <f t="shared" ref="G534:L534" si="41">SUM(G531:G533)</f>
        <v>0</v>
      </c>
      <c r="H534" s="89">
        <f t="shared" si="41"/>
        <v>24969.09</v>
      </c>
      <c r="I534" s="89">
        <f t="shared" si="41"/>
        <v>0</v>
      </c>
      <c r="J534" s="89">
        <f t="shared" si="41"/>
        <v>0</v>
      </c>
      <c r="K534" s="89">
        <f t="shared" si="41"/>
        <v>0</v>
      </c>
      <c r="L534" s="89">
        <f t="shared" si="41"/>
        <v>24969.09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>
        <v>0</v>
      </c>
      <c r="G536" s="18">
        <v>0</v>
      </c>
      <c r="H536" s="18">
        <v>0</v>
      </c>
      <c r="I536" s="18">
        <v>0</v>
      </c>
      <c r="J536" s="18">
        <v>0</v>
      </c>
      <c r="K536" s="18">
        <v>0</v>
      </c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>
        <v>0</v>
      </c>
      <c r="G537" s="18">
        <v>0</v>
      </c>
      <c r="H537" s="18">
        <v>0</v>
      </c>
      <c r="I537" s="18">
        <v>0</v>
      </c>
      <c r="J537" s="18">
        <v>0</v>
      </c>
      <c r="K537" s="18">
        <v>0</v>
      </c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>
        <v>0</v>
      </c>
      <c r="G538" s="18">
        <v>0</v>
      </c>
      <c r="H538" s="18">
        <v>0</v>
      </c>
      <c r="I538" s="18">
        <v>0</v>
      </c>
      <c r="J538" s="18">
        <v>0</v>
      </c>
      <c r="K538" s="18">
        <v>0</v>
      </c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42">SUM(G536:G538)</f>
        <v>0</v>
      </c>
      <c r="H539" s="89">
        <f t="shared" si="42"/>
        <v>0</v>
      </c>
      <c r="I539" s="89">
        <f t="shared" si="42"/>
        <v>0</v>
      </c>
      <c r="J539" s="89">
        <f t="shared" si="42"/>
        <v>0</v>
      </c>
      <c r="K539" s="89">
        <f t="shared" si="42"/>
        <v>0</v>
      </c>
      <c r="L539" s="89">
        <f t="shared" si="42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>
        <v>0</v>
      </c>
      <c r="G541" s="18">
        <v>0</v>
      </c>
      <c r="H541" s="18">
        <v>42709.48</v>
      </c>
      <c r="I541" s="18">
        <v>0</v>
      </c>
      <c r="J541" s="18">
        <v>0</v>
      </c>
      <c r="K541" s="18">
        <v>0</v>
      </c>
      <c r="L541" s="88">
        <f>SUM(F541:K541)</f>
        <v>42709.48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>
        <v>0</v>
      </c>
      <c r="G542" s="18">
        <v>0</v>
      </c>
      <c r="H542" s="18">
        <v>1323.81</v>
      </c>
      <c r="I542" s="18">
        <v>0</v>
      </c>
      <c r="J542" s="18">
        <v>0</v>
      </c>
      <c r="K542" s="18">
        <v>0</v>
      </c>
      <c r="L542" s="88">
        <f>SUM(F542:K542)</f>
        <v>1323.81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>
        <v>0</v>
      </c>
      <c r="G543" s="18">
        <v>0</v>
      </c>
      <c r="H543" s="18">
        <v>32225</v>
      </c>
      <c r="I543" s="18">
        <v>0</v>
      </c>
      <c r="J543" s="18">
        <v>0</v>
      </c>
      <c r="K543" s="18">
        <v>0</v>
      </c>
      <c r="L543" s="88">
        <f>SUM(F543:K543)</f>
        <v>32225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3">SUM(G541:G543)</f>
        <v>0</v>
      </c>
      <c r="H544" s="193">
        <f t="shared" si="43"/>
        <v>76258.290000000008</v>
      </c>
      <c r="I544" s="193">
        <f t="shared" si="43"/>
        <v>0</v>
      </c>
      <c r="J544" s="193">
        <f t="shared" si="43"/>
        <v>0</v>
      </c>
      <c r="K544" s="193">
        <f t="shared" si="43"/>
        <v>0</v>
      </c>
      <c r="L544" s="193">
        <f t="shared" si="43"/>
        <v>76258.290000000008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448334.25</v>
      </c>
      <c r="G545" s="89">
        <f t="shared" ref="G545:L545" si="44">G524+G529+G534+G539+G544</f>
        <v>151846.71</v>
      </c>
      <c r="H545" s="89">
        <f t="shared" si="44"/>
        <v>389866.34000000008</v>
      </c>
      <c r="I545" s="89">
        <f t="shared" si="44"/>
        <v>7650.9600000000009</v>
      </c>
      <c r="J545" s="89">
        <f t="shared" si="44"/>
        <v>3367.86</v>
      </c>
      <c r="K545" s="89">
        <f t="shared" si="44"/>
        <v>1467.1</v>
      </c>
      <c r="L545" s="89">
        <f t="shared" si="44"/>
        <v>1002533.22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485658.70999999996</v>
      </c>
      <c r="G549" s="87">
        <f>L526</f>
        <v>221239.96</v>
      </c>
      <c r="H549" s="87">
        <f>L531</f>
        <v>24969.09</v>
      </c>
      <c r="I549" s="87">
        <f>L536</f>
        <v>0</v>
      </c>
      <c r="J549" s="87">
        <f>L541</f>
        <v>42709.48</v>
      </c>
      <c r="K549" s="87">
        <f>SUM(F549:J549)</f>
        <v>774577.23999999987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44453.5</v>
      </c>
      <c r="G550" s="87">
        <f>L527</f>
        <v>177.44</v>
      </c>
      <c r="H550" s="87">
        <f>L532</f>
        <v>0</v>
      </c>
      <c r="I550" s="87">
        <f>L537</f>
        <v>0</v>
      </c>
      <c r="J550" s="87">
        <f>L542</f>
        <v>1323.81</v>
      </c>
      <c r="K550" s="87">
        <f>SUM(F550:J550)</f>
        <v>45954.75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148853.67000000001</v>
      </c>
      <c r="G551" s="87">
        <f>L528</f>
        <v>922.56</v>
      </c>
      <c r="H551" s="87">
        <f>L533</f>
        <v>0</v>
      </c>
      <c r="I551" s="87">
        <f>L538</f>
        <v>0</v>
      </c>
      <c r="J551" s="87">
        <f>L543</f>
        <v>32225</v>
      </c>
      <c r="K551" s="87">
        <f>SUM(F551:J551)</f>
        <v>182001.23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5">SUM(F549:F551)</f>
        <v>678965.88</v>
      </c>
      <c r="G552" s="89">
        <f t="shared" si="45"/>
        <v>222339.96</v>
      </c>
      <c r="H552" s="89">
        <f t="shared" si="45"/>
        <v>24969.09</v>
      </c>
      <c r="I552" s="89">
        <f t="shared" si="45"/>
        <v>0</v>
      </c>
      <c r="J552" s="89">
        <f t="shared" si="45"/>
        <v>76258.290000000008</v>
      </c>
      <c r="K552" s="89">
        <f t="shared" si="45"/>
        <v>1002533.2199999999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>
        <v>0</v>
      </c>
      <c r="G557" s="18">
        <v>0</v>
      </c>
      <c r="H557" s="18">
        <v>0</v>
      </c>
      <c r="I557" s="18">
        <v>0</v>
      </c>
      <c r="J557" s="18">
        <v>0</v>
      </c>
      <c r="K557" s="18">
        <v>0</v>
      </c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>
        <v>0</v>
      </c>
      <c r="G558" s="18">
        <v>0</v>
      </c>
      <c r="H558" s="18">
        <v>0</v>
      </c>
      <c r="I558" s="18">
        <v>0</v>
      </c>
      <c r="J558" s="18">
        <v>0</v>
      </c>
      <c r="K558" s="18">
        <v>0</v>
      </c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>
        <v>0</v>
      </c>
      <c r="G559" s="18">
        <v>0</v>
      </c>
      <c r="H559" s="18">
        <v>0</v>
      </c>
      <c r="I559" s="18">
        <v>0</v>
      </c>
      <c r="J559" s="18">
        <v>0</v>
      </c>
      <c r="K559" s="18">
        <v>0</v>
      </c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6">SUM(F557:F559)</f>
        <v>0</v>
      </c>
      <c r="G560" s="108">
        <f t="shared" si="46"/>
        <v>0</v>
      </c>
      <c r="H560" s="108">
        <f t="shared" si="46"/>
        <v>0</v>
      </c>
      <c r="I560" s="108">
        <f t="shared" si="46"/>
        <v>0</v>
      </c>
      <c r="J560" s="108">
        <f t="shared" si="46"/>
        <v>0</v>
      </c>
      <c r="K560" s="108">
        <f t="shared" si="46"/>
        <v>0</v>
      </c>
      <c r="L560" s="89">
        <f t="shared" si="46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>
        <v>0</v>
      </c>
      <c r="G562" s="18">
        <v>0</v>
      </c>
      <c r="H562" s="18">
        <v>0</v>
      </c>
      <c r="I562" s="18">
        <v>0</v>
      </c>
      <c r="J562" s="18">
        <v>0</v>
      </c>
      <c r="K562" s="18">
        <v>0</v>
      </c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>
        <v>0</v>
      </c>
      <c r="G563" s="18">
        <v>0</v>
      </c>
      <c r="H563" s="18">
        <v>0</v>
      </c>
      <c r="I563" s="18">
        <v>0</v>
      </c>
      <c r="J563" s="18">
        <v>0</v>
      </c>
      <c r="K563" s="18">
        <v>0</v>
      </c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>
        <v>0</v>
      </c>
      <c r="G564" s="18">
        <v>0</v>
      </c>
      <c r="H564" s="18">
        <v>0</v>
      </c>
      <c r="I564" s="18">
        <v>0</v>
      </c>
      <c r="J564" s="18">
        <v>0</v>
      </c>
      <c r="K564" s="18">
        <v>0</v>
      </c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7">SUM(F562:F564)</f>
        <v>0</v>
      </c>
      <c r="G565" s="89">
        <f t="shared" si="47"/>
        <v>0</v>
      </c>
      <c r="H565" s="89">
        <f t="shared" si="47"/>
        <v>0</v>
      </c>
      <c r="I565" s="89">
        <f t="shared" si="47"/>
        <v>0</v>
      </c>
      <c r="J565" s="89">
        <f t="shared" si="47"/>
        <v>0</v>
      </c>
      <c r="K565" s="89">
        <f t="shared" si="47"/>
        <v>0</v>
      </c>
      <c r="L565" s="89">
        <f t="shared" si="47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>
        <v>0</v>
      </c>
      <c r="G567" s="18">
        <v>0</v>
      </c>
      <c r="H567" s="18">
        <v>0</v>
      </c>
      <c r="I567" s="18">
        <v>0</v>
      </c>
      <c r="J567" s="18">
        <v>0</v>
      </c>
      <c r="K567" s="18">
        <v>0</v>
      </c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>
        <v>0</v>
      </c>
      <c r="G568" s="18">
        <v>0</v>
      </c>
      <c r="H568" s="18">
        <v>0</v>
      </c>
      <c r="I568" s="18">
        <v>0</v>
      </c>
      <c r="J568" s="18">
        <v>0</v>
      </c>
      <c r="K568" s="18">
        <v>0</v>
      </c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>
        <v>0</v>
      </c>
      <c r="G569" s="18">
        <v>0</v>
      </c>
      <c r="H569" s="18">
        <v>0</v>
      </c>
      <c r="I569" s="18">
        <v>0</v>
      </c>
      <c r="J569" s="18">
        <v>0</v>
      </c>
      <c r="K569" s="18">
        <v>0</v>
      </c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8">SUM(G567:G569)</f>
        <v>0</v>
      </c>
      <c r="H570" s="193">
        <f t="shared" si="48"/>
        <v>0</v>
      </c>
      <c r="I570" s="193">
        <f t="shared" si="48"/>
        <v>0</v>
      </c>
      <c r="J570" s="193">
        <f t="shared" si="48"/>
        <v>0</v>
      </c>
      <c r="K570" s="193">
        <f t="shared" si="48"/>
        <v>0</v>
      </c>
      <c r="L570" s="193">
        <f t="shared" si="48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9">G560+G565+G570</f>
        <v>0</v>
      </c>
      <c r="H571" s="89">
        <f t="shared" si="49"/>
        <v>0</v>
      </c>
      <c r="I571" s="89">
        <f t="shared" si="49"/>
        <v>0</v>
      </c>
      <c r="J571" s="89">
        <f t="shared" si="49"/>
        <v>0</v>
      </c>
      <c r="K571" s="89">
        <f t="shared" si="49"/>
        <v>0</v>
      </c>
      <c r="L571" s="89">
        <f t="shared" si="49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>
        <v>0</v>
      </c>
      <c r="G575" s="18">
        <v>637183.75</v>
      </c>
      <c r="H575" s="18">
        <v>1694183.72</v>
      </c>
      <c r="I575" s="87">
        <f>SUM(F575:H575)</f>
        <v>2331367.4699999997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>
        <v>0</v>
      </c>
      <c r="G576" s="18">
        <v>0</v>
      </c>
      <c r="H576" s="18">
        <v>0</v>
      </c>
      <c r="I576" s="87">
        <f t="shared" ref="I576:I587" si="50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>
        <v>0</v>
      </c>
      <c r="I577" s="87">
        <f t="shared" si="50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>
        <v>0</v>
      </c>
      <c r="G578" s="18">
        <v>0</v>
      </c>
      <c r="H578" s="18">
        <v>0</v>
      </c>
      <c r="I578" s="87">
        <f t="shared" si="50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>
        <v>0</v>
      </c>
      <c r="G579" s="18">
        <v>0</v>
      </c>
      <c r="H579" s="18">
        <v>0</v>
      </c>
      <c r="I579" s="87">
        <f t="shared" si="50"/>
        <v>0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>
        <v>0</v>
      </c>
      <c r="G580" s="18">
        <v>0</v>
      </c>
      <c r="H580" s="18">
        <v>0</v>
      </c>
      <c r="I580" s="87">
        <f t="shared" si="50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>
        <v>0</v>
      </c>
      <c r="I581" s="87">
        <f t="shared" si="50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>
        <v>8841.75</v>
      </c>
      <c r="G582" s="18">
        <v>0</v>
      </c>
      <c r="H582" s="18">
        <v>0</v>
      </c>
      <c r="I582" s="87">
        <f t="shared" si="50"/>
        <v>8841.75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>
        <v>0</v>
      </c>
      <c r="G583" s="18">
        <v>0</v>
      </c>
      <c r="H583" s="18">
        <v>0</v>
      </c>
      <c r="I583" s="87">
        <f t="shared" si="50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>
        <v>0</v>
      </c>
      <c r="G584" s="18">
        <v>0</v>
      </c>
      <c r="H584" s="18">
        <v>0</v>
      </c>
      <c r="I584" s="87">
        <f t="shared" si="50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>
        <v>0</v>
      </c>
      <c r="G585" s="18">
        <v>0</v>
      </c>
      <c r="H585" s="18">
        <v>0</v>
      </c>
      <c r="I585" s="87">
        <f t="shared" si="50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>
        <v>0</v>
      </c>
      <c r="I586" s="87">
        <f t="shared" si="50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>
        <v>0</v>
      </c>
      <c r="G587" s="18">
        <v>0</v>
      </c>
      <c r="H587" s="18">
        <v>0</v>
      </c>
      <c r="I587" s="87">
        <f t="shared" si="50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257034.4</v>
      </c>
      <c r="I591" s="18">
        <v>0</v>
      </c>
      <c r="J591" s="18">
        <v>0</v>
      </c>
      <c r="K591" s="104">
        <f t="shared" ref="K591:K597" si="51">SUM(H591:J591)</f>
        <v>257034.4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42709.48</v>
      </c>
      <c r="I592" s="18">
        <v>1323.81</v>
      </c>
      <c r="J592" s="18">
        <v>32225</v>
      </c>
      <c r="K592" s="104">
        <f t="shared" si="51"/>
        <v>76258.290000000008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>
        <v>0</v>
      </c>
      <c r="I593" s="18">
        <v>0</v>
      </c>
      <c r="J593" s="18">
        <v>0</v>
      </c>
      <c r="K593" s="104">
        <f t="shared" si="51"/>
        <v>0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>
        <v>0</v>
      </c>
      <c r="I594" s="18">
        <v>0</v>
      </c>
      <c r="J594" s="18">
        <v>0</v>
      </c>
      <c r="K594" s="104">
        <f t="shared" si="51"/>
        <v>0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v>4430.92</v>
      </c>
      <c r="I595" s="18">
        <v>0</v>
      </c>
      <c r="J595" s="18">
        <v>0</v>
      </c>
      <c r="K595" s="104">
        <f t="shared" si="51"/>
        <v>4430.92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>
        <v>0</v>
      </c>
      <c r="I596" s="18">
        <v>0</v>
      </c>
      <c r="J596" s="18">
        <v>0</v>
      </c>
      <c r="K596" s="104">
        <f t="shared" si="51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>
        <v>0</v>
      </c>
      <c r="I597" s="18">
        <v>0</v>
      </c>
      <c r="J597" s="18">
        <v>0</v>
      </c>
      <c r="K597" s="104">
        <f t="shared" si="51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304174.8</v>
      </c>
      <c r="I598" s="108">
        <f>SUM(I591:I597)</f>
        <v>1323.81</v>
      </c>
      <c r="J598" s="108">
        <f>SUM(J591:J597)</f>
        <v>32225</v>
      </c>
      <c r="K598" s="108">
        <f>SUM(K591:K597)</f>
        <v>337723.61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>
        <v>0</v>
      </c>
      <c r="I602" s="18">
        <v>0</v>
      </c>
      <c r="J602" s="18">
        <v>0</v>
      </c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>
        <v>0</v>
      </c>
      <c r="I603" s="18">
        <v>0</v>
      </c>
      <c r="J603" s="18">
        <v>0</v>
      </c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v>31858.880000000001</v>
      </c>
      <c r="I604" s="18">
        <v>0</v>
      </c>
      <c r="J604" s="18">
        <v>0</v>
      </c>
      <c r="K604" s="104">
        <f>SUM(H604:J604)</f>
        <v>31858.880000000001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31858.880000000001</v>
      </c>
      <c r="I605" s="108">
        <f>SUM(I602:I604)</f>
        <v>0</v>
      </c>
      <c r="J605" s="108">
        <f>SUM(J602:J604)</f>
        <v>0</v>
      </c>
      <c r="K605" s="108">
        <f>SUM(K602:K604)</f>
        <v>31858.880000000001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>
        <v>0</v>
      </c>
      <c r="G611" s="18">
        <v>0</v>
      </c>
      <c r="H611" s="18">
        <v>0</v>
      </c>
      <c r="I611" s="18">
        <v>0</v>
      </c>
      <c r="J611" s="18">
        <v>0</v>
      </c>
      <c r="K611" s="18">
        <v>0</v>
      </c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>
        <v>0</v>
      </c>
      <c r="G612" s="18">
        <v>0</v>
      </c>
      <c r="H612" s="18">
        <v>0</v>
      </c>
      <c r="I612" s="18">
        <v>0</v>
      </c>
      <c r="J612" s="18">
        <v>0</v>
      </c>
      <c r="K612" s="18">
        <v>0</v>
      </c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>
        <v>0</v>
      </c>
      <c r="G613" s="18">
        <v>0</v>
      </c>
      <c r="H613" s="18">
        <v>0</v>
      </c>
      <c r="I613" s="18">
        <v>0</v>
      </c>
      <c r="J613" s="18">
        <v>0</v>
      </c>
      <c r="K613" s="18">
        <v>0</v>
      </c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52">SUM(F611:F613)</f>
        <v>0</v>
      </c>
      <c r="G614" s="108">
        <f t="shared" si="52"/>
        <v>0</v>
      </c>
      <c r="H614" s="108">
        <f t="shared" si="52"/>
        <v>0</v>
      </c>
      <c r="I614" s="108">
        <f t="shared" si="52"/>
        <v>0</v>
      </c>
      <c r="J614" s="108">
        <f t="shared" si="52"/>
        <v>0</v>
      </c>
      <c r="K614" s="108">
        <f t="shared" si="52"/>
        <v>0</v>
      </c>
      <c r="L614" s="89">
        <f t="shared" si="52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1501956.31</v>
      </c>
      <c r="H617" s="109">
        <f>SUM(F52)</f>
        <v>1501956.31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2360.46</v>
      </c>
      <c r="H618" s="109">
        <f>SUM(G52)</f>
        <v>2360.46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13297.14</v>
      </c>
      <c r="H619" s="109">
        <f>SUM(H52)</f>
        <v>13297.14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276905.65000000002</v>
      </c>
      <c r="H621" s="109">
        <f>SUM(J52)</f>
        <v>276905.65000000002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405199.94</v>
      </c>
      <c r="H622" s="109">
        <f>F476</f>
        <v>405199.93999999948</v>
      </c>
      <c r="I622" s="121" t="s">
        <v>101</v>
      </c>
      <c r="J622" s="109">
        <f t="shared" ref="J622:J655" si="53">G622-H622</f>
        <v>5.2386894822120667E-10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3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3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3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276905.65000000002</v>
      </c>
      <c r="H626" s="109">
        <f>J476</f>
        <v>276905.65000000002</v>
      </c>
      <c r="I626" s="140" t="s">
        <v>105</v>
      </c>
      <c r="J626" s="109">
        <f t="shared" si="53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5982467.4400000004</v>
      </c>
      <c r="H627" s="104">
        <f>SUM(F468)</f>
        <v>5982467.4400000004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74270.26999999999</v>
      </c>
      <c r="H628" s="104">
        <f>SUM(G468)</f>
        <v>74270.26999999999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87880.09</v>
      </c>
      <c r="H629" s="104">
        <f>SUM(H468)</f>
        <v>87880.09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102252.3</v>
      </c>
      <c r="H631" s="104">
        <f>SUM(J468)</f>
        <v>102252.3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5911386.9300000006</v>
      </c>
      <c r="H632" s="104">
        <f>SUM(F472)</f>
        <v>5911386.9300000006</v>
      </c>
      <c r="I632" s="140" t="s">
        <v>111</v>
      </c>
      <c r="J632" s="109">
        <f t="shared" si="53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87880.090000000011</v>
      </c>
      <c r="H633" s="104">
        <f>SUM(H472)</f>
        <v>87880.090000000011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38084.17</v>
      </c>
      <c r="H634" s="104">
        <f>I369</f>
        <v>38084.17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74270.26999999999</v>
      </c>
      <c r="H635" s="104">
        <f>SUM(G472)</f>
        <v>74270.26999999999</v>
      </c>
      <c r="I635" s="140" t="s">
        <v>114</v>
      </c>
      <c r="J635" s="109">
        <f t="shared" si="53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3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102252.29999999999</v>
      </c>
      <c r="H637" s="164">
        <f>SUM(J468)</f>
        <v>102252.3</v>
      </c>
      <c r="I637" s="165" t="s">
        <v>110</v>
      </c>
      <c r="J637" s="151">
        <f t="shared" si="53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3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167745.75</v>
      </c>
      <c r="H639" s="104">
        <f>SUM(F461)</f>
        <v>167745.75</v>
      </c>
      <c r="I639" s="140" t="s">
        <v>856</v>
      </c>
      <c r="J639" s="109">
        <f t="shared" si="53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109159.9</v>
      </c>
      <c r="H640" s="104">
        <f>SUM(G461)</f>
        <v>109159.9</v>
      </c>
      <c r="I640" s="140" t="s">
        <v>857</v>
      </c>
      <c r="J640" s="109">
        <f t="shared" si="53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3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276905.65000000002</v>
      </c>
      <c r="H642" s="104">
        <f>SUM(I461)</f>
        <v>276905.65000000002</v>
      </c>
      <c r="I642" s="140" t="s">
        <v>859</v>
      </c>
      <c r="J642" s="109">
        <f t="shared" si="53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50000</v>
      </c>
      <c r="H643" s="104">
        <f>F408</f>
        <v>50000</v>
      </c>
      <c r="I643" s="140" t="s">
        <v>479</v>
      </c>
      <c r="J643" s="109">
        <f t="shared" si="53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1252.3</v>
      </c>
      <c r="H644" s="104">
        <f>H408</f>
        <v>1252.3</v>
      </c>
      <c r="I644" s="140" t="s">
        <v>480</v>
      </c>
      <c r="J644" s="109">
        <f t="shared" si="53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51000</v>
      </c>
      <c r="H645" s="104">
        <f>G408</f>
        <v>51000</v>
      </c>
      <c r="I645" s="140" t="s">
        <v>481</v>
      </c>
      <c r="J645" s="109">
        <f t="shared" si="53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102252.3</v>
      </c>
      <c r="H646" s="104">
        <f>L408</f>
        <v>102252.29999999999</v>
      </c>
      <c r="I646" s="140" t="s">
        <v>477</v>
      </c>
      <c r="J646" s="109">
        <f t="shared" si="53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337723.61</v>
      </c>
      <c r="H647" s="104">
        <f>L208+L226+L244</f>
        <v>337723.61</v>
      </c>
      <c r="I647" s="140" t="s">
        <v>396</v>
      </c>
      <c r="J647" s="109">
        <f t="shared" si="53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31858.880000000001</v>
      </c>
      <c r="H648" s="104">
        <f>(J257+J338)-(J255+J336)</f>
        <v>31858.880000000001</v>
      </c>
      <c r="I648" s="140" t="s">
        <v>702</v>
      </c>
      <c r="J648" s="109">
        <f t="shared" si="53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304174.8</v>
      </c>
      <c r="H649" s="104">
        <f>H598</f>
        <v>304174.8</v>
      </c>
      <c r="I649" s="140" t="s">
        <v>388</v>
      </c>
      <c r="J649" s="109">
        <f t="shared" si="53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1323.81</v>
      </c>
      <c r="H650" s="104">
        <f>I598</f>
        <v>1323.81</v>
      </c>
      <c r="I650" s="140" t="s">
        <v>389</v>
      </c>
      <c r="J650" s="109">
        <f t="shared" si="53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32225</v>
      </c>
      <c r="H651" s="104">
        <f>J598</f>
        <v>32225</v>
      </c>
      <c r="I651" s="140" t="s">
        <v>390</v>
      </c>
      <c r="J651" s="109">
        <f t="shared" si="53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9333.1200000000008</v>
      </c>
      <c r="H652" s="104">
        <f>K263+K345</f>
        <v>9333.1200000000008</v>
      </c>
      <c r="I652" s="140" t="s">
        <v>397</v>
      </c>
      <c r="J652" s="109">
        <f t="shared" si="53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3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3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51000</v>
      </c>
      <c r="H655" s="104">
        <f>K266+K347</f>
        <v>51000</v>
      </c>
      <c r="I655" s="140" t="s">
        <v>400</v>
      </c>
      <c r="J655" s="109">
        <f t="shared" si="53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3415852.22</v>
      </c>
      <c r="G660" s="19">
        <f>(L229+L309+L359)</f>
        <v>683138.5</v>
      </c>
      <c r="H660" s="19">
        <f>(L247+L328+L360)</f>
        <v>1876184.95</v>
      </c>
      <c r="I660" s="19">
        <f>SUM(F660:H660)</f>
        <v>5975175.6699999999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45439.59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45439.59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304174.8</v>
      </c>
      <c r="G662" s="19">
        <f>(L226+L306)-(J226+J306)</f>
        <v>1323.81</v>
      </c>
      <c r="H662" s="19">
        <f>(L244+L325)-(J244+J325)</f>
        <v>32225</v>
      </c>
      <c r="I662" s="19">
        <f>SUM(F662:H662)</f>
        <v>337723.61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40700.630000000005</v>
      </c>
      <c r="G663" s="199">
        <f>SUM(G575:G587)+SUM(I602:I604)+L612</f>
        <v>637183.75</v>
      </c>
      <c r="H663" s="199">
        <f>SUM(H575:H587)+SUM(J602:J604)+L613</f>
        <v>1694183.72</v>
      </c>
      <c r="I663" s="19">
        <f>SUM(F663:H663)</f>
        <v>2372068.1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3025537.2</v>
      </c>
      <c r="G664" s="19">
        <f>G660-SUM(G661:G663)</f>
        <v>44630.939999999944</v>
      </c>
      <c r="H664" s="19">
        <f>H660-SUM(H661:H663)</f>
        <v>149776.22999999998</v>
      </c>
      <c r="I664" s="19">
        <f>I660-SUM(I661:I663)</f>
        <v>3219944.37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215.58</v>
      </c>
      <c r="G665" s="248"/>
      <c r="H665" s="248"/>
      <c r="I665" s="19">
        <f>SUM(F665:H665)</f>
        <v>215.58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14034.41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14936.19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>
        <v>-44630.94</v>
      </c>
      <c r="H669" s="18">
        <v>-149776.23000000001</v>
      </c>
      <c r="I669" s="19">
        <f>SUM(F669:H669)</f>
        <v>-194407.17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14034.41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14034.41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C13" sqref="C13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DUNBARTON SCHOOL DISTRICT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967518.55</v>
      </c>
      <c r="C9" s="229">
        <f>'DOE25'!G197+'DOE25'!G215+'DOE25'!G233+'DOE25'!G276+'DOE25'!G295+'DOE25'!G314</f>
        <v>396198.6</v>
      </c>
    </row>
    <row r="10" spans="1:3" x14ac:dyDescent="0.2">
      <c r="A10" t="s">
        <v>778</v>
      </c>
      <c r="B10" s="240">
        <f>4650+800435.74+11180+39932.53</f>
        <v>856198.27</v>
      </c>
      <c r="C10" s="240">
        <f>334260.59+17352.39</f>
        <v>351612.98000000004</v>
      </c>
    </row>
    <row r="11" spans="1:3" x14ac:dyDescent="0.2">
      <c r="A11" t="s">
        <v>779</v>
      </c>
      <c r="B11" s="240">
        <v>111320.28</v>
      </c>
      <c r="C11" s="240">
        <v>44585.62</v>
      </c>
    </row>
    <row r="12" spans="1:3" x14ac:dyDescent="0.2">
      <c r="A12" t="s">
        <v>780</v>
      </c>
      <c r="B12" s="240">
        <v>0</v>
      </c>
      <c r="C12" s="240">
        <v>0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967518.55</v>
      </c>
      <c r="C13" s="231">
        <f>SUM(C10:C12)</f>
        <v>396198.60000000003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323526.5</v>
      </c>
      <c r="C18" s="229">
        <f>'DOE25'!G198+'DOE25'!G216+'DOE25'!G234+'DOE25'!G277+'DOE25'!G296+'DOE25'!G315</f>
        <v>111263.56</v>
      </c>
    </row>
    <row r="19" spans="1:3" x14ac:dyDescent="0.2">
      <c r="A19" t="s">
        <v>778</v>
      </c>
      <c r="B19" s="240">
        <f>53267.81+41458</f>
        <v>94725.81</v>
      </c>
      <c r="C19" s="240">
        <v>32577.02</v>
      </c>
    </row>
    <row r="20" spans="1:3" x14ac:dyDescent="0.2">
      <c r="A20" t="s">
        <v>779</v>
      </c>
      <c r="B20" s="240">
        <f>154897.77</f>
        <v>154897.76999999999</v>
      </c>
      <c r="C20" s="240">
        <v>61804.959999999999</v>
      </c>
    </row>
    <row r="21" spans="1:3" x14ac:dyDescent="0.2">
      <c r="A21" t="s">
        <v>780</v>
      </c>
      <c r="B21" s="240">
        <v>73902.92</v>
      </c>
      <c r="C21" s="240">
        <v>16881.580000000002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323526.5</v>
      </c>
      <c r="C22" s="231">
        <f>SUM(C19:C21)</f>
        <v>111263.56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>
        <v>0</v>
      </c>
      <c r="C28" s="240">
        <v>0</v>
      </c>
    </row>
    <row r="29" spans="1:3" x14ac:dyDescent="0.2">
      <c r="A29" t="s">
        <v>779</v>
      </c>
      <c r="B29" s="240">
        <v>0</v>
      </c>
      <c r="C29" s="240">
        <v>0</v>
      </c>
    </row>
    <row r="30" spans="1:3" x14ac:dyDescent="0.2">
      <c r="A30" t="s">
        <v>780</v>
      </c>
      <c r="B30" s="240">
        <v>0</v>
      </c>
      <c r="C30" s="240">
        <v>0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1000</v>
      </c>
      <c r="C36" s="235">
        <f>'DOE25'!G200+'DOE25'!G218+'DOE25'!G236+'DOE25'!G279+'DOE25'!G298+'DOE25'!G317</f>
        <v>239.57</v>
      </c>
    </row>
    <row r="37" spans="1:3" x14ac:dyDescent="0.2">
      <c r="A37" t="s">
        <v>778</v>
      </c>
      <c r="B37" s="240">
        <v>1000</v>
      </c>
      <c r="C37" s="240">
        <v>239.57</v>
      </c>
    </row>
    <row r="38" spans="1:3" x14ac:dyDescent="0.2">
      <c r="A38" t="s">
        <v>779</v>
      </c>
      <c r="B38" s="240">
        <v>0</v>
      </c>
      <c r="C38" s="240">
        <v>0</v>
      </c>
    </row>
    <row r="39" spans="1:3" x14ac:dyDescent="0.2">
      <c r="A39" t="s">
        <v>780</v>
      </c>
      <c r="B39" s="240">
        <v>0</v>
      </c>
      <c r="C39" s="240">
        <v>0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1000</v>
      </c>
      <c r="C40" s="231">
        <f>SUM(C37:C39)</f>
        <v>239.57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B38" sqref="B38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DUNBARTON SCHOOL DISTRICT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4378817.8199999994</v>
      </c>
      <c r="D5" s="20">
        <f>SUM('DOE25'!L197:L200)+SUM('DOE25'!L215:L218)+SUM('DOE25'!L233:L236)-F5-G5</f>
        <v>4366879.47</v>
      </c>
      <c r="E5" s="243"/>
      <c r="F5" s="255">
        <f>SUM('DOE25'!J197:J200)+SUM('DOE25'!J215:J218)+SUM('DOE25'!J233:J236)</f>
        <v>10460.35</v>
      </c>
      <c r="G5" s="53">
        <f>SUM('DOE25'!K197:K200)+SUM('DOE25'!K215:K218)+SUM('DOE25'!K233:K236)</f>
        <v>1478</v>
      </c>
      <c r="H5" s="259"/>
    </row>
    <row r="6" spans="1:9" x14ac:dyDescent="0.2">
      <c r="A6" s="32">
        <v>2100</v>
      </c>
      <c r="B6" t="s">
        <v>800</v>
      </c>
      <c r="C6" s="245">
        <f t="shared" si="0"/>
        <v>329248.27</v>
      </c>
      <c r="D6" s="20">
        <f>'DOE25'!L202+'DOE25'!L220+'DOE25'!L238-F6-G6</f>
        <v>329203.27</v>
      </c>
      <c r="E6" s="243"/>
      <c r="F6" s="255">
        <f>'DOE25'!J202+'DOE25'!J220+'DOE25'!J238</f>
        <v>0</v>
      </c>
      <c r="G6" s="53">
        <f>'DOE25'!K202+'DOE25'!K220+'DOE25'!K238</f>
        <v>45</v>
      </c>
      <c r="H6" s="259"/>
    </row>
    <row r="7" spans="1:9" x14ac:dyDescent="0.2">
      <c r="A7" s="32">
        <v>2200</v>
      </c>
      <c r="B7" t="s">
        <v>833</v>
      </c>
      <c r="C7" s="245">
        <f t="shared" si="0"/>
        <v>135189.5</v>
      </c>
      <c r="D7" s="20">
        <f>'DOE25'!L203+'DOE25'!L221+'DOE25'!L239-F7-G7</f>
        <v>120209.97</v>
      </c>
      <c r="E7" s="243"/>
      <c r="F7" s="255">
        <f>'DOE25'!J203+'DOE25'!J221+'DOE25'!J239</f>
        <v>14959.53</v>
      </c>
      <c r="G7" s="53">
        <f>'DOE25'!K203+'DOE25'!K221+'DOE25'!K239</f>
        <v>20</v>
      </c>
      <c r="H7" s="259"/>
    </row>
    <row r="8" spans="1:9" x14ac:dyDescent="0.2">
      <c r="A8" s="32">
        <v>2300</v>
      </c>
      <c r="B8" t="s">
        <v>801</v>
      </c>
      <c r="C8" s="245">
        <f t="shared" si="0"/>
        <v>105335.41999999998</v>
      </c>
      <c r="D8" s="243"/>
      <c r="E8" s="20">
        <f>'DOE25'!L204+'DOE25'!L222+'DOE25'!L240-F8-G8-D9-D11</f>
        <v>102219.01999999999</v>
      </c>
      <c r="F8" s="255">
        <f>'DOE25'!J204+'DOE25'!J222+'DOE25'!J240</f>
        <v>0</v>
      </c>
      <c r="G8" s="53">
        <f>'DOE25'!K204+'DOE25'!K222+'DOE25'!K240</f>
        <v>3116.4</v>
      </c>
      <c r="H8" s="259"/>
    </row>
    <row r="9" spans="1:9" x14ac:dyDescent="0.2">
      <c r="A9" s="32">
        <v>2310</v>
      </c>
      <c r="B9" t="s">
        <v>817</v>
      </c>
      <c r="C9" s="245">
        <f t="shared" si="0"/>
        <v>10006.51</v>
      </c>
      <c r="D9" s="244">
        <v>10006.51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5965</v>
      </c>
      <c r="D10" s="243"/>
      <c r="E10" s="244">
        <v>5965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44343</v>
      </c>
      <c r="D11" s="244">
        <v>44343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208075.77000000002</v>
      </c>
      <c r="D12" s="20">
        <f>'DOE25'!L205+'DOE25'!L223+'DOE25'!L241-F12-G12</f>
        <v>207456.77000000002</v>
      </c>
      <c r="E12" s="243"/>
      <c r="F12" s="255">
        <f>'DOE25'!J205+'DOE25'!J223+'DOE25'!J241</f>
        <v>0</v>
      </c>
      <c r="G12" s="53">
        <f>'DOE25'!K205+'DOE25'!K223+'DOE25'!K241</f>
        <v>619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264285.41000000003</v>
      </c>
      <c r="D14" s="20">
        <f>'DOE25'!L207+'DOE25'!L225+'DOE25'!L243-F14-G14</f>
        <v>257846.41000000003</v>
      </c>
      <c r="E14" s="243"/>
      <c r="F14" s="255">
        <f>'DOE25'!J207+'DOE25'!J225+'DOE25'!J243</f>
        <v>6439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337723.61</v>
      </c>
      <c r="D15" s="20">
        <f>'DOE25'!L208+'DOE25'!L226+'DOE25'!L244-F15-G15</f>
        <v>337723.61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149.75</v>
      </c>
      <c r="D19" s="20">
        <f>'DOE25'!L253-F19-G19</f>
        <v>0</v>
      </c>
      <c r="E19" s="243"/>
      <c r="F19" s="255">
        <f>'DOE25'!J253</f>
        <v>0</v>
      </c>
      <c r="G19" s="53">
        <f>'DOE25'!K253</f>
        <v>149.75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37878.75</v>
      </c>
      <c r="D25" s="243"/>
      <c r="E25" s="243"/>
      <c r="F25" s="258"/>
      <c r="G25" s="256"/>
      <c r="H25" s="257">
        <f>'DOE25'!L260+'DOE25'!L261+'DOE25'!L341+'DOE25'!L342</f>
        <v>37878.75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36653.869999999988</v>
      </c>
      <c r="D29" s="20">
        <f>'DOE25'!L358+'DOE25'!L359+'DOE25'!L360-'DOE25'!I367-F29-G29</f>
        <v>36598.619999999988</v>
      </c>
      <c r="E29" s="243"/>
      <c r="F29" s="255">
        <f>'DOE25'!J358+'DOE25'!J359+'DOE25'!J360</f>
        <v>55.25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87880.090000000011</v>
      </c>
      <c r="D31" s="20">
        <f>'DOE25'!L290+'DOE25'!L309+'DOE25'!L328+'DOE25'!L333+'DOE25'!L334+'DOE25'!L335-F31-G31</f>
        <v>86482.07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1398.02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5796749.7000000011</v>
      </c>
      <c r="E33" s="246">
        <f>SUM(E5:E31)</f>
        <v>108184.01999999999</v>
      </c>
      <c r="F33" s="246">
        <f>SUM(F5:F31)</f>
        <v>31914.13</v>
      </c>
      <c r="G33" s="246">
        <f>SUM(G5:G31)</f>
        <v>6826.17</v>
      </c>
      <c r="H33" s="246">
        <f>SUM(H5:H31)</f>
        <v>37878.75</v>
      </c>
    </row>
    <row r="35" spans="2:8" ht="12" thickBot="1" x14ac:dyDescent="0.25">
      <c r="B35" s="253" t="s">
        <v>846</v>
      </c>
      <c r="D35" s="254">
        <f>E33</f>
        <v>108184.01999999999</v>
      </c>
      <c r="E35" s="249"/>
    </row>
    <row r="36" spans="2:8" ht="12" thickTop="1" x14ac:dyDescent="0.2">
      <c r="B36" t="s">
        <v>814</v>
      </c>
      <c r="D36" s="20">
        <f>D33</f>
        <v>5796749.7000000011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19" sqref="C19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DUNBARTON SCHOOL DISTRICT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761737.31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737394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970.28</v>
      </c>
      <c r="E11" s="95">
        <f>'DOE25'!H12</f>
        <v>0</v>
      </c>
      <c r="F11" s="95">
        <f>'DOE25'!I12</f>
        <v>0</v>
      </c>
      <c r="G11" s="95">
        <f>'DOE25'!J12</f>
        <v>276905.65000000002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1390.18</v>
      </c>
      <c r="E13" s="95">
        <f>'DOE25'!H14</f>
        <v>13297.14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2825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1501956.31</v>
      </c>
      <c r="D18" s="41">
        <f>SUM(D8:D17)</f>
        <v>2360.46</v>
      </c>
      <c r="E18" s="41">
        <f>SUM(E8:E17)</f>
        <v>13297.14</v>
      </c>
      <c r="F18" s="41">
        <f>SUM(F8:F17)</f>
        <v>0</v>
      </c>
      <c r="G18" s="41">
        <f>SUM(G8:G17)</f>
        <v>276905.65000000002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969991.56</v>
      </c>
      <c r="D21" s="95">
        <f>'DOE25'!G22</f>
        <v>0</v>
      </c>
      <c r="E21" s="95">
        <f>'DOE25'!H22</f>
        <v>11847.98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92632.06</v>
      </c>
      <c r="D23" s="95">
        <f>'DOE25'!G24</f>
        <v>1736.57</v>
      </c>
      <c r="E23" s="95">
        <f>'DOE25'!H24</f>
        <v>1449.16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34914.39</v>
      </c>
      <c r="D24" s="95">
        <f>'DOE25'!G25</f>
        <v>623.89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-781.64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1096756.3700000001</v>
      </c>
      <c r="D31" s="41">
        <f>SUM(D21:D30)</f>
        <v>2360.46</v>
      </c>
      <c r="E31" s="41">
        <f>SUM(E21:E30)</f>
        <v>13297.14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32758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276905.65000000002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372441.94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405199.94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276905.65000000002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1501956.31</v>
      </c>
      <c r="D51" s="41">
        <f>D50+D31</f>
        <v>2360.46</v>
      </c>
      <c r="E51" s="41">
        <f>E50+E31</f>
        <v>13297.14</v>
      </c>
      <c r="F51" s="41">
        <f>F50+F31</f>
        <v>0</v>
      </c>
      <c r="G51" s="41">
        <f>G50+G31</f>
        <v>276905.65000000002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4217376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50000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261.45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1252.3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45439.59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4076.06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4337.51</v>
      </c>
      <c r="D62" s="130">
        <f>SUM(D57:D61)</f>
        <v>45439.59</v>
      </c>
      <c r="E62" s="130">
        <f>SUM(E57:E61)</f>
        <v>0</v>
      </c>
      <c r="F62" s="130">
        <f>SUM(F57:F61)</f>
        <v>0</v>
      </c>
      <c r="G62" s="130">
        <f>SUM(G57:G61)</f>
        <v>1252.3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4221713.51</v>
      </c>
      <c r="D63" s="22">
        <f>D56+D62</f>
        <v>45439.59</v>
      </c>
      <c r="E63" s="22">
        <f>E56+E62</f>
        <v>0</v>
      </c>
      <c r="F63" s="22">
        <f>F56+F62</f>
        <v>0</v>
      </c>
      <c r="G63" s="22">
        <f>G56+G62</f>
        <v>51252.3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821559.21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670018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146459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1638036.21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16672.03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24723.49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3561.46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41395.520000000004</v>
      </c>
      <c r="D78" s="130">
        <f>SUM(D72:D77)</f>
        <v>3561.46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1679431.73</v>
      </c>
      <c r="D81" s="130">
        <f>SUM(D79:D80)+D78+D70</f>
        <v>3561.46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81322.2</v>
      </c>
      <c r="D88" s="95">
        <f>SUM('DOE25'!G153:G161)</f>
        <v>15936.1</v>
      </c>
      <c r="E88" s="95">
        <f>SUM('DOE25'!H153:H161)</f>
        <v>87880.09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81322.2</v>
      </c>
      <c r="D91" s="131">
        <f>SUM(D85:D90)</f>
        <v>15936.1</v>
      </c>
      <c r="E91" s="131">
        <f>SUM(E85:E90)</f>
        <v>87880.09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9333.1200000000008</v>
      </c>
      <c r="E96" s="95">
        <f>'DOE25'!H179</f>
        <v>0</v>
      </c>
      <c r="F96" s="95">
        <f>'DOE25'!I179</f>
        <v>0</v>
      </c>
      <c r="G96" s="95">
        <f>'DOE25'!J179</f>
        <v>51000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9333.1200000000008</v>
      </c>
      <c r="E103" s="86">
        <f>SUM(E93:E102)</f>
        <v>0</v>
      </c>
      <c r="F103" s="86">
        <f>SUM(F93:F102)</f>
        <v>0</v>
      </c>
      <c r="G103" s="86">
        <f>SUM(G93:G102)</f>
        <v>51000</v>
      </c>
    </row>
    <row r="104" spans="1:7" ht="12.75" thickTop="1" thickBot="1" x14ac:dyDescent="0.25">
      <c r="A104" s="33" t="s">
        <v>764</v>
      </c>
      <c r="C104" s="86">
        <f>C63+C81+C91+C103</f>
        <v>5982467.4400000004</v>
      </c>
      <c r="D104" s="86">
        <f>D63+D81+D91+D103</f>
        <v>74270.26999999999</v>
      </c>
      <c r="E104" s="86">
        <f>E63+E81+E91+E103</f>
        <v>87880.09</v>
      </c>
      <c r="F104" s="86">
        <f>F63+F81+F91+F103</f>
        <v>0</v>
      </c>
      <c r="G104" s="86">
        <f>G63+G81+G103</f>
        <v>102252.3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3742966.83</v>
      </c>
      <c r="D109" s="24" t="s">
        <v>288</v>
      </c>
      <c r="E109" s="95">
        <f>('DOE25'!L276)+('DOE25'!L295)+('DOE25'!L314)</f>
        <v>14604.84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624653.17000000004</v>
      </c>
      <c r="D110" s="24" t="s">
        <v>288</v>
      </c>
      <c r="E110" s="95">
        <f>('DOE25'!L277)+('DOE25'!L296)+('DOE25'!L315)</f>
        <v>54312.71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11197.82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149.75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4378967.57</v>
      </c>
      <c r="D115" s="86">
        <f>SUM(D109:D114)</f>
        <v>0</v>
      </c>
      <c r="E115" s="86">
        <f>SUM(E109:E114)</f>
        <v>68917.55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329248.27</v>
      </c>
      <c r="D118" s="24" t="s">
        <v>288</v>
      </c>
      <c r="E118" s="95">
        <f>+('DOE25'!L281)+('DOE25'!L300)+('DOE25'!L319)</f>
        <v>412.74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135189.5</v>
      </c>
      <c r="D119" s="24" t="s">
        <v>288</v>
      </c>
      <c r="E119" s="95">
        <f>+('DOE25'!L282)+('DOE25'!L301)+('DOE25'!L320)</f>
        <v>18549.8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159684.93</v>
      </c>
      <c r="D120" s="24" t="s">
        <v>288</v>
      </c>
      <c r="E120" s="95">
        <f>+('DOE25'!L283)+('DOE25'!L302)+('DOE25'!L321)</f>
        <v>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208075.77000000002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264285.41000000003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337723.61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74270.26999999999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1434207.4899999998</v>
      </c>
      <c r="D128" s="86">
        <f>SUM(D118:D127)</f>
        <v>74270.26999999999</v>
      </c>
      <c r="E128" s="86">
        <f>SUM(E118:E127)</f>
        <v>18962.54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37000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878.75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9333.1200000000008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102252.29999999999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-51252.299999999988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98211.87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5911386.9300000006</v>
      </c>
      <c r="D145" s="86">
        <f>(D115+D128+D144)</f>
        <v>74270.26999999999</v>
      </c>
      <c r="E145" s="86">
        <f>(E115+E128+E144)</f>
        <v>87880.09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10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 t="str">
        <f>'DOE25'!F491</f>
        <v>12/06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 t="str">
        <f>'DOE25'!F492</f>
        <v>01/17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487000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4.75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37000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37000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37000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37000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G23" sqref="G23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DUNBARTON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14034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704</v>
      </c>
      <c r="C7" s="179">
        <f>IF('DOE25'!I665+'DOE25'!I670=0,0,ROUND('DOE25'!I672,0))</f>
        <v>14034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3757572</v>
      </c>
      <c r="D10" s="182">
        <f>ROUND((C10/$C$28)*100,1)</f>
        <v>63.4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678966</v>
      </c>
      <c r="D11" s="182">
        <f>ROUND((C11/$C$28)*100,1)</f>
        <v>11.4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11198</v>
      </c>
      <c r="D13" s="182">
        <f>ROUND((C13/$C$28)*100,1)</f>
        <v>0.2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329661</v>
      </c>
      <c r="D15" s="182">
        <f t="shared" ref="D15:D27" si="0">ROUND((C15/$C$28)*100,1)</f>
        <v>5.6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153739</v>
      </c>
      <c r="D16" s="182">
        <f t="shared" si="0"/>
        <v>2.6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159685</v>
      </c>
      <c r="D17" s="182">
        <f t="shared" si="0"/>
        <v>2.7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208076</v>
      </c>
      <c r="D18" s="182">
        <f t="shared" si="0"/>
        <v>3.5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264285</v>
      </c>
      <c r="D20" s="182">
        <f t="shared" si="0"/>
        <v>4.5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337724</v>
      </c>
      <c r="D21" s="182">
        <f t="shared" si="0"/>
        <v>5.7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150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879</v>
      </c>
      <c r="D25" s="182">
        <f t="shared" si="0"/>
        <v>0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28830.410000000003</v>
      </c>
      <c r="D27" s="182">
        <f t="shared" si="0"/>
        <v>0.5</v>
      </c>
    </row>
    <row r="28" spans="1:4" x14ac:dyDescent="0.2">
      <c r="B28" s="187" t="s">
        <v>722</v>
      </c>
      <c r="C28" s="180">
        <f>SUM(C10:C27)</f>
        <v>5930765.4100000001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728</v>
      </c>
      <c r="C30" s="180">
        <f>SUM(C28:C29)</f>
        <v>5930765.4100000001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37000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4267376</v>
      </c>
      <c r="D35" s="182">
        <f t="shared" ref="D35:D40" si="1">ROUND((C35/$C$41)*100,1)</f>
        <v>69.5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5589.8099999995902</v>
      </c>
      <c r="D36" s="182">
        <f t="shared" si="1"/>
        <v>0.1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1491577</v>
      </c>
      <c r="D37" s="182">
        <f t="shared" si="1"/>
        <v>24.3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191416</v>
      </c>
      <c r="D38" s="182">
        <f t="shared" si="1"/>
        <v>3.1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185138</v>
      </c>
      <c r="D39" s="182">
        <f t="shared" si="1"/>
        <v>3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6141096.8099999996</v>
      </c>
      <c r="D41" s="184">
        <f>SUM(D35:D40)</f>
        <v>99.999999999999986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769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766</v>
      </c>
      <c r="B2" s="301"/>
      <c r="C2" s="301"/>
      <c r="D2" s="301"/>
      <c r="E2" s="301"/>
      <c r="F2" s="298" t="str">
        <f>'DOE25'!A2</f>
        <v>DUNBARTON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6" t="s">
        <v>770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847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A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2017-10-10T11:55:25Z</cp:lastPrinted>
  <dcterms:created xsi:type="dcterms:W3CDTF">1997-12-04T19:04:30Z</dcterms:created>
  <dcterms:modified xsi:type="dcterms:W3CDTF">2017-12-06T14:35:04Z</dcterms:modified>
</cp:coreProperties>
</file>