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C11" i="10" s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5" i="2" s="1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 s="1"/>
  <c r="L351" i="1"/>
  <c r="I662" i="1"/>
  <c r="L290" i="1"/>
  <c r="A31" i="12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19" i="13"/>
  <c r="C19" i="13" s="1"/>
  <c r="E13" i="13"/>
  <c r="C13" i="13" s="1"/>
  <c r="E78" i="2"/>
  <c r="E81" i="2" s="1"/>
  <c r="J641" i="1"/>
  <c r="K605" i="1"/>
  <c r="G648" i="1" s="1"/>
  <c r="J571" i="1"/>
  <c r="K571" i="1"/>
  <c r="L433" i="1"/>
  <c r="L419" i="1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393" i="1"/>
  <c r="C138" i="2" s="1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J636" i="1"/>
  <c r="G36" i="2"/>
  <c r="L565" i="1"/>
  <c r="K551" i="1"/>
  <c r="C22" i="13"/>
  <c r="C16" i="13"/>
  <c r="H33" i="13"/>
  <c r="A13" i="12" l="1"/>
  <c r="J476" i="1"/>
  <c r="H626" i="1" s="1"/>
  <c r="K598" i="1"/>
  <c r="G647" i="1" s="1"/>
  <c r="J647" i="1" s="1"/>
  <c r="F476" i="1"/>
  <c r="H622" i="1" s="1"/>
  <c r="G476" i="1"/>
  <c r="H623" i="1" s="1"/>
  <c r="J623" i="1" s="1"/>
  <c r="I460" i="1"/>
  <c r="I461" i="1" s="1"/>
  <c r="H642" i="1" s="1"/>
  <c r="J639" i="1"/>
  <c r="H408" i="1"/>
  <c r="H644" i="1" s="1"/>
  <c r="J644" i="1" s="1"/>
  <c r="L401" i="1"/>
  <c r="C139" i="2" s="1"/>
  <c r="C119" i="2"/>
  <c r="E8" i="13"/>
  <c r="C8" i="13" s="1"/>
  <c r="J622" i="1"/>
  <c r="G545" i="1"/>
  <c r="D5" i="13"/>
  <c r="C5" i="13" s="1"/>
  <c r="A40" i="12"/>
  <c r="I369" i="1"/>
  <c r="H634" i="1" s="1"/>
  <c r="J634" i="1" s="1"/>
  <c r="D29" i="13"/>
  <c r="C29" i="13" s="1"/>
  <c r="J649" i="1"/>
  <c r="I545" i="1"/>
  <c r="H545" i="1"/>
  <c r="K549" i="1"/>
  <c r="K552" i="1" s="1"/>
  <c r="L524" i="1"/>
  <c r="L545" i="1" s="1"/>
  <c r="J640" i="1"/>
  <c r="I446" i="1"/>
  <c r="G642" i="1" s="1"/>
  <c r="H661" i="1"/>
  <c r="H664" i="1" s="1"/>
  <c r="D127" i="2"/>
  <c r="D128" i="2" s="1"/>
  <c r="D145" i="2" s="1"/>
  <c r="G661" i="1"/>
  <c r="L362" i="1"/>
  <c r="C10" i="10"/>
  <c r="C112" i="2"/>
  <c r="C123" i="2"/>
  <c r="D12" i="13"/>
  <c r="C12" i="13" s="1"/>
  <c r="C110" i="2"/>
  <c r="D14" i="13"/>
  <c r="C14" i="13" s="1"/>
  <c r="E33" i="13"/>
  <c r="D35" i="13" s="1"/>
  <c r="C121" i="2"/>
  <c r="C120" i="2"/>
  <c r="L211" i="1"/>
  <c r="L257" i="1" s="1"/>
  <c r="L271" i="1" s="1"/>
  <c r="G632" i="1" s="1"/>
  <c r="J632" i="1" s="1"/>
  <c r="C70" i="2"/>
  <c r="C81" i="2" s="1"/>
  <c r="C62" i="2"/>
  <c r="C63" i="2" s="1"/>
  <c r="J624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J642" i="1" l="1"/>
  <c r="L408" i="1"/>
  <c r="G637" i="1" s="1"/>
  <c r="J637" i="1" s="1"/>
  <c r="C141" i="2"/>
  <c r="C144" i="2" s="1"/>
  <c r="H672" i="1"/>
  <c r="C6" i="10" s="1"/>
  <c r="H667" i="1"/>
  <c r="I661" i="1"/>
  <c r="G664" i="1"/>
  <c r="G672" i="1" s="1"/>
  <c r="C5" i="10" s="1"/>
  <c r="C28" i="10"/>
  <c r="D23" i="10" s="1"/>
  <c r="G667" i="1"/>
  <c r="C115" i="2"/>
  <c r="C128" i="2"/>
  <c r="F660" i="1"/>
  <c r="F664" i="1" s="1"/>
  <c r="F672" i="1" s="1"/>
  <c r="C4" i="10" s="1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D26" i="10"/>
  <c r="D20" i="10"/>
  <c r="D25" i="10"/>
  <c r="D12" i="10"/>
  <c r="D27" i="10"/>
  <c r="D15" i="10"/>
  <c r="D16" i="10"/>
  <c r="D10" i="10"/>
  <c r="D17" i="10"/>
  <c r="D24" i="10"/>
  <c r="D18" i="10"/>
  <c r="C30" i="10"/>
  <c r="D19" i="10"/>
  <c r="D13" i="10"/>
  <c r="D11" i="10"/>
  <c r="D21" i="10"/>
  <c r="D22" i="10"/>
  <c r="F667" i="1"/>
  <c r="I660" i="1"/>
  <c r="I664" i="1" s="1"/>
  <c r="I672" i="1" s="1"/>
  <c r="C7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<sst xmlns="http://schemas.openxmlformats.org/spreadsheetml/2006/main" count="3955" uniqueCount="913">
  <si>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</si>
  <si>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</si>
  <si>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</si>
  <si>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</si>
  <si>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</si>
  <si>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</si>
  <si>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</si>
  <si>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</si>
  <si>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</si>
  <si>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</si>
  <si>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</si>
  <si>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</si>
  <si>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</si>
  <si>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</si>
  <si>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</si>
  <si>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</si>
  <si>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</si>
  <si>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</si>
  <si>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</si>
  <si>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</si>
  <si>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</si>
  <si>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</si>
  <si>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</si>
  <si>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</si>
  <si>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</si>
  <si>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</si>
  <si>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</si>
  <si>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</si>
  <si>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</si>
  <si>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</si>
  <si>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</si>
  <si>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</si>
  <si>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</si>
  <si>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</si>
  <si>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</si>
  <si>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</si>
  <si>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</si>
  <si>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</si>
  <si>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</si>
  <si>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</si>
  <si>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</si>
  <si>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</si>
  <si>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</si>
  <si>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</si>
  <si>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</si>
  <si>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</si>
  <si>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</si>
  <si>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</si>
  <si>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</si>
  <si>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</si>
  <si>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</si>
  <si>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</si>
  <si>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</si>
  <si>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</si>
  <si>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</si>
  <si>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</si>
  <si>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</si>
  <si>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</si>
  <si>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</si>
  <si>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</si>
  <si>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</si>
  <si>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</si>
  <si>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</si>
  <si>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</si>
  <si>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</si>
  <si>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</si>
  <si>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</si>
  <si>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</si>
  <si>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</si>
  <si>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</si>
  <si>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</si>
  <si>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</si>
  <si>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</si>
  <si>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</si>
  <si>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</si>
  <si>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</si>
  <si>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</si>
  <si>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</si>
  <si>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</si>
  <si>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</si>
  <si>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</si>
  <si>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</si>
  <si>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</si>
  <si>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</si>
  <si>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</si>
  <si>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</si>
  <si>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</si>
  <si>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</si>
  <si>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</si>
  <si>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</si>
  <si>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</si>
  <si>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</si>
  <si>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</si>
  <si>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</si>
  <si>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</si>
  <si>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</si>
  <si>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</si>
  <si>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</si>
  <si>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</si>
  <si>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</si>
  <si>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</si>
  <si>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</si>
  <si>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</si>
  <si>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</si>
  <si>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</si>
  <si>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</si>
  <si>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</si>
  <si>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</si>
  <si>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</si>
  <si>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</si>
  <si>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</si>
  <si>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</si>
  <si>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</si>
  <si>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</si>
  <si>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</si>
  <si>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</si>
  <si>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</si>
  <si>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</si>
  <si>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</si>
  <si>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</si>
  <si>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</si>
  <si>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</si>
  <si>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</si>
  <si>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</si>
  <si>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</si>
  <si>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</si>
  <si>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</si>
  <si>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</si>
  <si>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</si>
  <si>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</si>
  <si>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</si>
  <si>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</si>
  <si>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</si>
  <si>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</si>
  <si>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</si>
  <si>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</si>
  <si>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</si>
  <si>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</si>
  <si>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</si>
  <si>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</si>
  <si>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</si>
  <si>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</si>
  <si>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</si>
  <si>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</si>
  <si>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</si>
  <si>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</si>
  <si>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</si>
  <si>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</si>
  <si>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</si>
  <si>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</si>
  <si>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</si>
  <si>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</si>
  <si>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</si>
  <si>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</si>
  <si>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</si>
  <si>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</si>
  <si>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</si>
  <si>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</si>
  <si>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</si>
  <si>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</si>
  <si>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</si>
  <si>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</si>
  <si>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</si>
  <si>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</si>
  <si>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</si>
  <si>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</si>
  <si>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</si>
  <si>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</si>
  <si>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</si>
  <si>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</si>
  <si>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</si>
  <si>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</si>
  <si>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</si>
  <si>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</si>
  <si>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</si>
  <si>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</si>
  <si>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</si>
  <si>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</si>
  <si>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</si>
  <si>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</si>
  <si>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</si>
  <si>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</si>
  <si>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</si>
  <si>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</si>
  <si>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</si>
  <si>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</si>
  <si>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</si>
  <si>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</si>
  <si>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</si>
  <si>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</si>
  <si>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</si>
  <si>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</si>
  <si>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</si>
  <si>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</si>
  <si>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</si>
  <si>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</si>
  <si>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</si>
  <si>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</si>
  <si>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</si>
  <si>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</si>
  <si>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</si>
  <si>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</si>
  <si>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</si>
  <si>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</si>
  <si>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</si>
  <si>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</si>
  <si>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</si>
  <si>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</si>
  <si>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</si>
  <si>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</si>
  <si>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</si>
  <si>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</si>
  <si>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</si>
  <si>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</si>
  <si>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</si>
  <si>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</si>
  <si>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</si>
  <si>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</si>
  <si>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</si>
  <si>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</si>
  <si>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</si>
  <si>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</si>
  <si>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</si>
  <si>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</si>
  <si>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</si>
  <si>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</si>
  <si>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</si>
  <si>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</si>
  <si>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</si>
  <si>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</si>
  <si>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</si>
  <si>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</si>
  <si>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</si>
  <si>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</si>
  <si>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</si>
  <si>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</si>
  <si>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</si>
  <si>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</si>
  <si>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</si>
  <si>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</si>
  <si>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</si>
  <si>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</si>
  <si>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</si>
  <si>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</si>
  <si>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</si>
  <si>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</si>
  <si>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</si>
  <si>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</si>
  <si>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</si>
  <si>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</si>
  <si>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</si>
  <si>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</si>
  <si>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</si>
  <si>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</si>
  <si>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</si>
  <si>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</si>
  <si>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</si>
  <si>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</si>
  <si>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</si>
  <si>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</si>
  <si>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</si>
  <si>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</si>
  <si>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</si>
  <si>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</si>
  <si>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</si>
  <si>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</si>
  <si>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</si>
  <si>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</si>
  <si>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</si>
  <si>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</si>
  <si>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</si>
  <si>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</si>
  <si>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</si>
  <si>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</si>
  <si>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</si>
  <si>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</si>
  <si>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</si>
  <si>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</si>
  <si>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</si>
  <si>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</si>
  <si>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</si>
  <si>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</si>
  <si>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</si>
  <si>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</si>
  <si>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</si>
  <si>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</si>
  <si>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</si>
  <si>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</si>
  <si>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</si>
  <si>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</si>
  <si>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</si>
  <si>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</si>
  <si>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</si>
  <si>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</si>
  <si>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</si>
  <si>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</si>
  <si>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</si>
  <si>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</si>
  <si>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</si>
  <si>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</si>
  <si>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</si>
  <si>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</si>
  <si>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</si>
  <si>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</si>
  <si>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</si>
  <si>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</si>
  <si>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</si>
  <si>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</si>
  <si>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</si>
  <si>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</si>
  <si>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</si>
  <si>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</si>
  <si>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</si>
  <si>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</si>
  <si>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</si>
  <si>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</si>
  <si>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</si>
  <si>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</si>
  <si>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</si>
  <si>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</si>
  <si>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</si>
  <si>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</si>
  <si>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</si>
  <si>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</si>
  <si>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</si>
  <si>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</si>
  <si>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</si>
  <si>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</si>
  <si>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</si>
  <si>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</si>
  <si>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</si>
  <si>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</si>
  <si>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</si>
  <si>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</si>
  <si>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</si>
  <si>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</si>
  <si>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</si>
  <si>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</si>
  <si>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</si>
  <si>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</si>
  <si>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</si>
  <si>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</si>
  <si>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</si>
  <si>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</si>
  <si>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</si>
  <si>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</si>
  <si>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</si>
  <si>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</si>
  <si>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</si>
  <si>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</si>
  <si>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</si>
  <si>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</si>
  <si>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</si>
  <si>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</si>
  <si>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</si>
  <si>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</si>
  <si>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</si>
  <si>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</si>
  <si>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</si>
  <si>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</si>
  <si>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</si>
  <si>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</si>
  <si>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</si>
  <si>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</si>
  <si>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</si>
  <si>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</si>
  <si>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</si>
  <si>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</si>
  <si>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</si>
  <si>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</si>
  <si>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</si>
  <si>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</si>
  <si>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</si>
  <si>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</si>
  <si>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</si>
  <si>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</si>
  <si>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</si>
  <si>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</si>
  <si>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</si>
  <si>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</si>
  <si>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</si>
  <si>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</si>
  <si>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</si>
  <si>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</si>
  <si>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</si>
  <si>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</si>
  <si>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</si>
  <si>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</si>
  <si>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</si>
  <si>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</si>
  <si>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</si>
  <si>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</si>
  <si>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</si>
  <si>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</si>
  <si>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</si>
  <si>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</si>
  <si>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</si>
  <si>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</si>
  <si>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</si>
  <si>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</si>
  <si>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</si>
  <si>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</si>
  <si>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</si>
  <si>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</si>
  <si>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</si>
  <si>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</si>
  <si>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</si>
  <si>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</si>
  <si>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</si>
  <si>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</si>
  <si>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</si>
  <si>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</si>
  <si>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</si>
  <si>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</si>
  <si>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</si>
  <si>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</si>
  <si>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</si>
  <si>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</si>
  <si>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</si>
  <si>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</si>
  <si>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</si>
  <si>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</si>
  <si>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</si>
  <si>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</si>
  <si>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</si>
  <si>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</si>
  <si>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</si>
  <si>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</si>
  <si>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</si>
  <si>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</si>
  <si>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</si>
  <si>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</si>
  <si>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</si>
  <si>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</si>
  <si>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</si>
  <si>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</si>
  <si>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</si>
  <si>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</si>
  <si>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</si>
  <si>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</si>
  <si>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</si>
  <si>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</si>
  <si>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</si>
  <si>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</si>
  <si>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</si>
  <si>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</si>
  <si>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</si>
  <si>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</si>
  <si>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</si>
  <si>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</si>
  <si>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</si>
  <si>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</si>
  <si>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</si>
  <si>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</si>
  <si>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</si>
  <si>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</si>
  <si>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</si>
  <si>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</si>
  <si>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</si>
  <si>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</si>
  <si>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</si>
  <si>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</si>
  <si>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</si>
  <si>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</si>
  <si>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</si>
  <si>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</si>
  <si>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</si>
  <si>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</si>
  <si>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</si>
  <si>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</si>
  <si>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</si>
  <si>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</si>
  <si>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</si>
  <si>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</si>
  <si>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</si>
  <si>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</si>
  <si>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</si>
  <si>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</si>
  <si>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</si>
  <si>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</si>
  <si>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</si>
  <si>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</si>
  <si>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</si>
  <si>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</si>
  <si>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</si>
  <si>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</si>
  <si>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</si>
  <si>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</si>
  <si>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</si>
  <si>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</si>
  <si>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</si>
  <si>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</si>
  <si>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</si>
  <si>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</si>
  <si>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</si>
  <si>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</si>
  <si>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</si>
  <si>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</si>
  <si>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</si>
  <si>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</si>
  <si>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</si>
  <si>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</si>
  <si>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</si>
  <si>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</si>
  <si>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</si>
  <si>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</si>
  <si>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</si>
  <si>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</si>
  <si>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</si>
  <si>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</si>
  <si>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</si>
  <si>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</si>
  <si>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</si>
  <si>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</si>
  <si>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</si>
  <si>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</si>
  <si>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</si>
  <si>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</si>
  <si>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</si>
  <si>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</si>
  <si>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</si>
  <si>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</si>
  <si>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</si>
  <si>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</si>
  <si>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</si>
  <si>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</si>
  <si>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</si>
  <si>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</si>
  <si>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</si>
  <si>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</si>
  <si>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</si>
  <si>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</si>
  <si>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</si>
  <si>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</si>
  <si>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</si>
  <si>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</si>
  <si>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</si>
  <si>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</si>
  <si>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</si>
  <si>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</si>
  <si>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</si>
  <si>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</si>
  <si>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</si>
  <si>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</si>
  <si>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</si>
  <si>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</si>
  <si>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</si>
  <si>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</si>
  <si>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</si>
  <si>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</si>
  <si>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</si>
  <si>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</si>
  <si>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</si>
  <si>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</si>
  <si>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</si>
  <si>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</si>
  <si>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</si>
  <si>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</si>
  <si>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</si>
  <si>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</si>
  <si>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</si>
  <si>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</si>
  <si>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</si>
  <si>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</si>
  <si>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</si>
  <si>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</si>
  <si>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</si>
  <si>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</si>
  <si>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</si>
  <si>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</si>
  <si>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</si>
  <si>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</si>
  <si>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</si>
  <si>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</si>
  <si>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</si>
  <si>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</si>
  <si>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</si>
  <si>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</si>
  <si>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</si>
  <si>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</si>
  <si>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</si>
  <si>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</si>
  <si>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</si>
  <si>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</si>
  <si>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</si>
  <si>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</si>
  <si>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</si>
  <si>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</si>
  <si>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</si>
  <si>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</si>
  <si>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</si>
  <si>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</si>
  <si>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</si>
  <si>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</si>
  <si>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</si>
  <si>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</si>
  <si>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</si>
  <si>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</si>
  <si>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</si>
  <si>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</si>
  <si>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</si>
  <si>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</si>
  <si>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</si>
  <si>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</si>
  <si>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</si>
  <si>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</si>
  <si>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</si>
  <si>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</si>
  <si>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</si>
  <si>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</si>
  <si>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</si>
  <si>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</si>
  <si>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</si>
  <si>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</si>
  <si>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</si>
  <si>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</si>
  <si>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</si>
  <si>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</si>
  <si>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</si>
  <si>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</si>
  <si>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</si>
  <si>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</si>
  <si>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</si>
  <si>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</si>
  <si>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</si>
  <si>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</si>
  <si>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</si>
  <si>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</si>
  <si>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</si>
  <si>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</si>
  <si>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</si>
  <si>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</si>
  <si>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</si>
  <si>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</si>
  <si>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</si>
  <si>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</si>
  <si>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</si>
  <si>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</si>
  <si>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</si>
  <si>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</si>
  <si>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</si>
  <si>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</si>
  <si>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</si>
  <si>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</si>
  <si>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</si>
  <si>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</si>
  <si>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</si>
  <si>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</si>
  <si>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</si>
  <si>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</si>
  <si>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</si>
  <si>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</si>
  <si>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</si>
  <si>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</si>
  <si>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</si>
  <si>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</si>
  <si>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</si>
  <si>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</si>
  <si>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</si>
  <si>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</si>
  <si>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</si>
  <si>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</si>
  <si>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</si>
  <si>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</si>
  <si>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</si>
  <si>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</si>
  <si>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</si>
  <si>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</si>
  <si>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</si>
  <si>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</si>
  <si>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</si>
  <si>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</si>
  <si>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</si>
  <si>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</si>
  <si>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</si>
  <si>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</si>
  <si>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</si>
  <si>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</si>
  <si>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</si>
  <si>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</si>
  <si>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</si>
  <si>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</si>
  <si>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</si>
  <si>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</si>
  <si>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</si>
  <si>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</si>
  <si>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</si>
  <si>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</si>
  <si>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</si>
  <si>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</si>
  <si>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</si>
  <si>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</si>
  <si>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</si>
  <si>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</si>
  <si>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</si>
  <si>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</si>
  <si>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</si>
  <si>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</si>
  <si>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</si>
  <si>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</si>
  <si>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</si>
  <si>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</si>
  <si>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</si>
  <si>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</si>
  <si>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</si>
  <si>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</si>
  <si>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</si>
  <si>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</si>
  <si>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</si>
  <si>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</si>
  <si>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</si>
  <si>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</si>
  <si>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</si>
  <si>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</si>
  <si>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</si>
  <si>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</si>
  <si>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</si>
  <si>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</si>
  <si>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</si>
  <si>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</si>
  <si>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</si>
  <si>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</si>
  <si>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</si>
  <si>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</si>
  <si>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</si>
  <si>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</si>
  <si>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</si>
  <si>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</si>
  <si>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</si>
  <si>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</si>
  <si>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</si>
  <si>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</si>
  <si>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</si>
  <si>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</si>
  <si>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</si>
  <si>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</si>
  <si>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</si>
  <si>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</si>
  <si>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</si>
  <si>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</si>
  <si>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</si>
  <si>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</si>
  <si>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</si>
  <si>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</si>
  <si>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</si>
  <si>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</si>
  <si>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</si>
  <si>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</si>
  <si>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</si>
  <si>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</si>
  <si>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</si>
  <si>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</si>
  <si>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</si>
  <si>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</si>
  <si>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</si>
  <si>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</si>
  <si>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</si>
  <si>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</si>
  <si>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</si>
  <si>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</si>
  <si>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</si>
  <si>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</si>
  <si>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</si>
  <si>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</si>
  <si>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</si>
  <si>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</si>
  <si>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</si>
  <si>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</si>
  <si>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</si>
  <si>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</si>
  <si>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</si>
  <si>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</si>
  <si>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</si>
  <si>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</si>
  <si>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</si>
  <si>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</si>
  <si>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</si>
  <si>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</si>
  <si>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</si>
  <si>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</si>
  <si>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</si>
  <si>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</si>
  <si>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</si>
  <si>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</si>
  <si>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</si>
  <si>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</si>
  <si>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</si>
  <si>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</si>
  <si>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</si>
  <si>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</si>
  <si>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</si>
  <si>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</si>
  <si>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</si>
  <si>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</si>
  <si>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</si>
  <si>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</si>
  <si>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</si>
  <si>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</si>
  <si>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</si>
  <si>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</si>
  <si>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</si>
  <si>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</si>
  <si>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</si>
  <si>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</si>
  <si>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</si>
  <si>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</si>
  <si>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</si>
  <si>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</si>
  <si>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</si>
  <si>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</si>
  <si>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</si>
  <si>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</si>
  <si>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</si>
  <si>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</si>
  <si>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</si>
  <si>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</si>
  <si>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</si>
  <si>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</si>
  <si>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</si>
  <si>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</si>
  <si>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</si>
  <si>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</si>
  <si>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</si>
  <si>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</si>
  <si>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</si>
  <si>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</si>
  <si>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</si>
  <si>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</si>
  <si>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</si>
  <si>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</si>
  <si>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</si>
  <si>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</si>
  <si>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</si>
  <si>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</si>
  <si>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</si>
  <si>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</si>
  <si>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</si>
  <si>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</si>
  <si>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</si>
  <si>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</si>
  <si>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</si>
  <si>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</si>
  <si>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</si>
  <si>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</si>
  <si>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</si>
  <si>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</si>
  <si>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</si>
  <si>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</si>
  <si>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</si>
  <si>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</si>
  <si>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</si>
  <si>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</si>
  <si>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</si>
  <si>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</si>
  <si>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</si>
  <si>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</si>
  <si>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</si>
  <si>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</si>
  <si>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</si>
  <si>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</si>
  <si>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</si>
  <si>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</si>
  <si>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</si>
  <si>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</si>
  <si>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</si>
  <si>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</si>
  <si>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</si>
  <si>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</si>
  <si>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</si>
  <si>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</si>
  <si>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</si>
  <si>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</si>
  <si>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</si>
  <si>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</si>
  <si>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</si>
  <si>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</si>
  <si>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</si>
  <si>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</si>
  <si>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</si>
  <si>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</si>
  <si>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</si>
  <si>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</si>
  <si>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</si>
  <si>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</si>
  <si>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</si>
  <si>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</si>
  <si>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</si>
  <si>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</si>
  <si>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</si>
  <si>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</si>
  <si>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</si>
  <si>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</si>
  <si>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</si>
  <si>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</si>
  <si>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</si>
  <si>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</si>
  <si>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</si>
  <si>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</si>
  <si>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</si>
  <si>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</si>
  <si>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</si>
  <si>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</si>
  <si>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</si>
  <si>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</si>
  <si>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</si>
  <si>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</si>
  <si>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</si>
  <si>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</si>
  <si>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</si>
  <si>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</si>
  <si>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</si>
  <si>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</si>
  <si>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EAST KINGSTON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</si>
</sst>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153</v>
      </c>
      <c r="C2" s="21">
        <v>153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36793.449999999997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94107.99</v>
      </c>
      <c r="G10" s="18"/>
      <c r="H10" s="18"/>
      <c r="I10" s="18"/>
      <c r="J10" s="67">
        <f>SUM(I440)</f>
        <v>966973.86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658.69</v>
      </c>
      <c r="G13" s="18">
        <v>855.52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3220.69</v>
      </c>
      <c r="G14" s="18"/>
      <c r="H14" s="18">
        <v>15250.75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3748.3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134780.82</v>
      </c>
      <c r="G19" s="41">
        <f>SUM(G9:G18)</f>
        <v>4603.82</v>
      </c>
      <c r="H19" s="41">
        <f>SUM(H9:H18)</f>
        <v>15250.75</v>
      </c>
      <c r="I19" s="41">
        <f>SUM(I9:I18)</f>
        <v>0</v>
      </c>
      <c r="J19" s="41">
        <f>SUM(J9:J18)</f>
        <v>966973.86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-16154.01</v>
      </c>
      <c r="G22" s="18">
        <v>2564.21</v>
      </c>
      <c r="H22" s="18">
        <v>13589.8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118.5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110842.15</v>
      </c>
      <c r="G24" s="18">
        <v>1035.01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94806.64</v>
      </c>
      <c r="G32" s="41">
        <f>SUM(G22:G31)</f>
        <v>3599.2200000000003</v>
      </c>
      <c r="H32" s="41">
        <f>SUM(H22:H31)</f>
        <v>13589.8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1004.6</v>
      </c>
      <c r="H48" s="18">
        <v>1660.95</v>
      </c>
      <c r="I48" s="18"/>
      <c r="J48" s="13">
        <f>SUM(I459)</f>
        <v>966973.86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39974.18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39974.18</v>
      </c>
      <c r="G51" s="41">
        <f>SUM(G35:G50)</f>
        <v>1004.6</v>
      </c>
      <c r="H51" s="41">
        <f>SUM(H35:H50)</f>
        <v>1660.95</v>
      </c>
      <c r="I51" s="41">
        <f>SUM(I35:I50)</f>
        <v>0</v>
      </c>
      <c r="J51" s="41">
        <f>SUM(J35:J50)</f>
        <v>966973.86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134780.82</v>
      </c>
      <c r="G52" s="41">
        <f>G51+G32</f>
        <v>4603.8200000000006</v>
      </c>
      <c r="H52" s="41">
        <f>H51+H32</f>
        <v>15250.75</v>
      </c>
      <c r="I52" s="41">
        <f>I51+I32</f>
        <v>0</v>
      </c>
      <c r="J52" s="41">
        <f>J51+J32</f>
        <v>966973.86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2040521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2040521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366.63</v>
      </c>
      <c r="G96" s="18"/>
      <c r="H96" s="18"/>
      <c r="I96" s="18"/>
      <c r="J96" s="18">
        <v>32708.02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46190.38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21861.1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22227.73</v>
      </c>
      <c r="G111" s="41">
        <f>SUM(G96:G110)</f>
        <v>46190.38</v>
      </c>
      <c r="H111" s="41">
        <f>SUM(H96:H110)</f>
        <v>0</v>
      </c>
      <c r="I111" s="41">
        <f>SUM(I96:I110)</f>
        <v>0</v>
      </c>
      <c r="J111" s="41">
        <f>SUM(J96:J110)</f>
        <v>32708.02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2062748.73</v>
      </c>
      <c r="G112" s="41">
        <f>G60+G111</f>
        <v>46190.38</v>
      </c>
      <c r="H112" s="41">
        <f>H60+H79+H94+H111</f>
        <v>0</v>
      </c>
      <c r="I112" s="41">
        <f>I60+I111</f>
        <v>0</v>
      </c>
      <c r="J112" s="41">
        <f>J60+J111</f>
        <v>32708.02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287993.57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260410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16147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564550.57000000007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1637.29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1637.29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564550.57000000007</v>
      </c>
      <c r="G140" s="41">
        <f>G121+SUM(G136:G137)</f>
        <v>1637.29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12722.84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16572.53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16572.53</v>
      </c>
      <c r="G162" s="41">
        <f>SUM(G150:G161)</f>
        <v>12722.84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16572.53</v>
      </c>
      <c r="G169" s="41">
        <f>G147+G162+SUM(G163:G168)</f>
        <v>12722.84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2643871.8299999996</v>
      </c>
      <c r="G193" s="47">
        <f>G112+G140+G169+G192</f>
        <v>60550.509999999995</v>
      </c>
      <c r="H193" s="47">
        <f>H112+H140+H169+H192</f>
        <v>0</v>
      </c>
      <c r="I193" s="47">
        <f>I112+I140+I169+I192</f>
        <v>0</v>
      </c>
      <c r="J193" s="47">
        <f>J112+J140+J192</f>
        <v>32708.02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799120.17</v>
      </c>
      <c r="G197" s="18">
        <v>360919</v>
      </c>
      <c r="H197" s="18">
        <v>0</v>
      </c>
      <c r="I197" s="18">
        <v>17209.54</v>
      </c>
      <c r="J197" s="18">
        <v>3169.82</v>
      </c>
      <c r="K197" s="18"/>
      <c r="L197" s="19">
        <f>SUM(F197:K197)</f>
        <v>1180418.53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290901.3</v>
      </c>
      <c r="G198" s="18">
        <v>111364.48</v>
      </c>
      <c r="H198" s="18">
        <v>48976.800000000003</v>
      </c>
      <c r="I198" s="18">
        <v>4154.9799999999996</v>
      </c>
      <c r="J198" s="18"/>
      <c r="K198" s="18"/>
      <c r="L198" s="19">
        <f>SUM(F198:K198)</f>
        <v>455397.55999999994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4670</v>
      </c>
      <c r="G200" s="18">
        <v>1462.17</v>
      </c>
      <c r="H200" s="18"/>
      <c r="I200" s="18"/>
      <c r="J200" s="18"/>
      <c r="K200" s="18">
        <v>646.46</v>
      </c>
      <c r="L200" s="19">
        <f>SUM(F200:K200)</f>
        <v>6778.63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150763.6</v>
      </c>
      <c r="G202" s="18">
        <v>67487.64</v>
      </c>
      <c r="H202" s="18">
        <v>16444.400000000001</v>
      </c>
      <c r="I202" s="18">
        <v>828.45</v>
      </c>
      <c r="J202" s="18"/>
      <c r="K202" s="18"/>
      <c r="L202" s="19">
        <f t="shared" ref="L202:L208" si="0">SUM(F202:K202)</f>
        <v>235524.09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43144.62</v>
      </c>
      <c r="G203" s="18">
        <v>13508.5</v>
      </c>
      <c r="H203" s="18">
        <v>45777.69</v>
      </c>
      <c r="I203" s="18">
        <v>7555.38</v>
      </c>
      <c r="J203" s="18">
        <v>17255.02</v>
      </c>
      <c r="K203" s="18"/>
      <c r="L203" s="19">
        <f t="shared" si="0"/>
        <v>127241.21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5840</v>
      </c>
      <c r="G204" s="18">
        <v>466.13</v>
      </c>
      <c r="H204" s="18">
        <v>61938.37</v>
      </c>
      <c r="I204" s="18"/>
      <c r="J204" s="18"/>
      <c r="K204" s="18"/>
      <c r="L204" s="19">
        <f t="shared" si="0"/>
        <v>68244.5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188945.71</v>
      </c>
      <c r="G205" s="18">
        <v>81494.320000000007</v>
      </c>
      <c r="H205" s="18">
        <v>13295.6</v>
      </c>
      <c r="I205" s="18">
        <v>4071.89</v>
      </c>
      <c r="J205" s="18">
        <v>309.06</v>
      </c>
      <c r="K205" s="18">
        <v>311.99</v>
      </c>
      <c r="L205" s="19">
        <f t="shared" si="0"/>
        <v>288428.57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68562.679999999993</v>
      </c>
      <c r="G207" s="18">
        <v>27229.53</v>
      </c>
      <c r="H207" s="18">
        <v>31835.26</v>
      </c>
      <c r="I207" s="18">
        <v>44125.77</v>
      </c>
      <c r="J207" s="18">
        <v>20729.439999999999</v>
      </c>
      <c r="K207" s="18"/>
      <c r="L207" s="19">
        <f t="shared" si="0"/>
        <v>192482.68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91796</v>
      </c>
      <c r="I208" s="18"/>
      <c r="J208" s="18"/>
      <c r="K208" s="18"/>
      <c r="L208" s="19">
        <f t="shared" si="0"/>
        <v>91796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1551948.08</v>
      </c>
      <c r="G211" s="41">
        <f t="shared" si="1"/>
        <v>663931.77</v>
      </c>
      <c r="H211" s="41">
        <f t="shared" si="1"/>
        <v>310064.12</v>
      </c>
      <c r="I211" s="41">
        <f t="shared" si="1"/>
        <v>77946.010000000009</v>
      </c>
      <c r="J211" s="41">
        <f t="shared" si="1"/>
        <v>41463.339999999997</v>
      </c>
      <c r="K211" s="41">
        <f t="shared" si="1"/>
        <v>958.45</v>
      </c>
      <c r="L211" s="41">
        <f t="shared" si="1"/>
        <v>2646311.77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1551948.08</v>
      </c>
      <c r="G257" s="41">
        <f t="shared" si="8"/>
        <v>663931.77</v>
      </c>
      <c r="H257" s="41">
        <f t="shared" si="8"/>
        <v>310064.12</v>
      </c>
      <c r="I257" s="41">
        <f t="shared" si="8"/>
        <v>77946.010000000009</v>
      </c>
      <c r="J257" s="41">
        <f t="shared" si="8"/>
        <v>41463.339999999997</v>
      </c>
      <c r="K257" s="41">
        <f t="shared" si="8"/>
        <v>958.45</v>
      </c>
      <c r="L257" s="41">
        <f t="shared" si="8"/>
        <v>2646311.77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1551948.08</v>
      </c>
      <c r="G271" s="42">
        <f t="shared" si="11"/>
        <v>663931.77</v>
      </c>
      <c r="H271" s="42">
        <f t="shared" si="11"/>
        <v>310064.12</v>
      </c>
      <c r="I271" s="42">
        <f t="shared" si="11"/>
        <v>77946.010000000009</v>
      </c>
      <c r="J271" s="42">
        <f t="shared" si="11"/>
        <v>41463.339999999997</v>
      </c>
      <c r="K271" s="42">
        <f t="shared" si="11"/>
        <v>958.45</v>
      </c>
      <c r="L271" s="42">
        <f t="shared" si="11"/>
        <v>2646311.77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26874.79</v>
      </c>
      <c r="G358" s="18">
        <v>2055.92</v>
      </c>
      <c r="H358" s="18">
        <v>379.94</v>
      </c>
      <c r="I358" s="18">
        <v>30235.26</v>
      </c>
      <c r="J358" s="18"/>
      <c r="K358" s="18"/>
      <c r="L358" s="13">
        <f>SUM(F358:K358)</f>
        <v>59545.909999999996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26874.79</v>
      </c>
      <c r="G362" s="47">
        <f t="shared" si="22"/>
        <v>2055.92</v>
      </c>
      <c r="H362" s="47">
        <f t="shared" si="22"/>
        <v>379.94</v>
      </c>
      <c r="I362" s="47">
        <f t="shared" si="22"/>
        <v>30235.26</v>
      </c>
      <c r="J362" s="47">
        <f t="shared" si="22"/>
        <v>0</v>
      </c>
      <c r="K362" s="47">
        <f t="shared" si="22"/>
        <v>0</v>
      </c>
      <c r="L362" s="47">
        <f t="shared" si="22"/>
        <v>59545.909999999996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30235.26</v>
      </c>
      <c r="G367" s="18"/>
      <c r="H367" s="18"/>
      <c r="I367" s="56">
        <f>SUM(F367:H367)</f>
        <v>30235.26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30235.26</v>
      </c>
      <c r="G369" s="47">
        <f>SUM(G367:G368)</f>
        <v>0</v>
      </c>
      <c r="H369" s="47">
        <f>SUM(H367:H368)</f>
        <v>0</v>
      </c>
      <c r="I369" s="47">
        <f>SUM(I367:I368)</f>
        <v>30235.26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22108.52</v>
      </c>
      <c r="I389" s="18"/>
      <c r="J389" s="24" t="s">
        <v>288</v>
      </c>
      <c r="K389" s="24" t="s">
        <v>288</v>
      </c>
      <c r="L389" s="56">
        <f t="shared" si="25"/>
        <v>22108.52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22108.52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22108.52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572.59</v>
      </c>
      <c r="I396" s="18"/>
      <c r="J396" s="24" t="s">
        <v>288</v>
      </c>
      <c r="K396" s="24" t="s">
        <v>288</v>
      </c>
      <c r="L396" s="56">
        <f t="shared" si="26"/>
        <v>572.59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1471.3</v>
      </c>
      <c r="I397" s="18"/>
      <c r="J397" s="24" t="s">
        <v>288</v>
      </c>
      <c r="K397" s="24" t="s">
        <v>288</v>
      </c>
      <c r="L397" s="56">
        <f t="shared" si="26"/>
        <v>1471.3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8555.61</v>
      </c>
      <c r="I400" s="18"/>
      <c r="J400" s="24" t="s">
        <v>288</v>
      </c>
      <c r="K400" s="24" t="s">
        <v>288</v>
      </c>
      <c r="L400" s="56">
        <f t="shared" si="26"/>
        <v>8555.61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10599.5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10599.5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32708.02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32708.02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v>18000</v>
      </c>
      <c r="I426" s="18">
        <v>250.75</v>
      </c>
      <c r="J426" s="18"/>
      <c r="K426" s="18"/>
      <c r="L426" s="56">
        <f t="shared" si="29"/>
        <v>18250.75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18000</v>
      </c>
      <c r="I427" s="47">
        <f t="shared" si="30"/>
        <v>250.75</v>
      </c>
      <c r="J427" s="47">
        <f t="shared" si="30"/>
        <v>0</v>
      </c>
      <c r="K427" s="47">
        <f t="shared" si="30"/>
        <v>0</v>
      </c>
      <c r="L427" s="47">
        <f t="shared" si="30"/>
        <v>18250.75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18000</v>
      </c>
      <c r="I434" s="47">
        <f t="shared" si="32"/>
        <v>250.75</v>
      </c>
      <c r="J434" s="47">
        <f t="shared" si="32"/>
        <v>0</v>
      </c>
      <c r="K434" s="47">
        <f t="shared" si="32"/>
        <v>0</v>
      </c>
      <c r="L434" s="47">
        <f t="shared" si="32"/>
        <v>18250.75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717669.11</v>
      </c>
      <c r="G440" s="18">
        <v>249304.75</v>
      </c>
      <c r="H440" s="18"/>
      <c r="I440" s="56">
        <f t="shared" si="33"/>
        <v>966973.86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717669.11</v>
      </c>
      <c r="G446" s="13">
        <f>SUM(G439:G445)</f>
        <v>249304.75</v>
      </c>
      <c r="H446" s="13">
        <f>SUM(H439:H445)</f>
        <v>0</v>
      </c>
      <c r="I446" s="13">
        <f>SUM(I439:I445)</f>
        <v>966973.86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717669.11</v>
      </c>
      <c r="G459" s="18">
        <v>249304.75</v>
      </c>
      <c r="H459" s="18"/>
      <c r="I459" s="56">
        <f t="shared" si="34"/>
        <v>966973.86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717669.11</v>
      </c>
      <c r="G460" s="83">
        <f>SUM(G454:G459)</f>
        <v>249304.75</v>
      </c>
      <c r="H460" s="83">
        <f>SUM(H454:H459)</f>
        <v>0</v>
      </c>
      <c r="I460" s="83">
        <f>SUM(I454:I459)</f>
        <v>966973.86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717669.11</v>
      </c>
      <c r="G461" s="42">
        <f>G452+G460</f>
        <v>249304.75</v>
      </c>
      <c r="H461" s="42">
        <f>H452+H460</f>
        <v>0</v>
      </c>
      <c r="I461" s="42">
        <f>I452+I460</f>
        <v>966973.86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42414.12</v>
      </c>
      <c r="G465" s="18">
        <v>0</v>
      </c>
      <c r="H465" s="18">
        <v>1660.95</v>
      </c>
      <c r="I465" s="18"/>
      <c r="J465" s="18">
        <v>952516.59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2643871.83</v>
      </c>
      <c r="G468" s="18">
        <v>60550.51</v>
      </c>
      <c r="H468" s="18">
        <v>0</v>
      </c>
      <c r="I468" s="18"/>
      <c r="J468" s="18">
        <v>32708.02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2643871.83</v>
      </c>
      <c r="G470" s="53">
        <f>SUM(G468:G469)</f>
        <v>60550.51</v>
      </c>
      <c r="H470" s="53">
        <f>SUM(H468:H469)</f>
        <v>0</v>
      </c>
      <c r="I470" s="53">
        <f>SUM(I468:I469)</f>
        <v>0</v>
      </c>
      <c r="J470" s="53">
        <f>SUM(J468:J469)</f>
        <v>32708.02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2646311.77</v>
      </c>
      <c r="G472" s="18">
        <v>59545.91</v>
      </c>
      <c r="H472" s="18">
        <v>0</v>
      </c>
      <c r="I472" s="18"/>
      <c r="J472" s="18">
        <v>18250.75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2646311.77</v>
      </c>
      <c r="G474" s="53">
        <f>SUM(G472:G473)</f>
        <v>59545.91</v>
      </c>
      <c r="H474" s="53">
        <f>SUM(H472:H473)</f>
        <v>0</v>
      </c>
      <c r="I474" s="53">
        <f>SUM(I472:I473)</f>
        <v>0</v>
      </c>
      <c r="J474" s="53">
        <f>SUM(J472:J473)</f>
        <v>18250.75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39974.180000000168</v>
      </c>
      <c r="G476" s="53">
        <f>(G465+G470)- G474</f>
        <v>1004.5999999999985</v>
      </c>
      <c r="H476" s="53">
        <f>(H465+H470)- H474</f>
        <v>1660.95</v>
      </c>
      <c r="I476" s="53">
        <f>(I465+I470)- I474</f>
        <v>0</v>
      </c>
      <c r="J476" s="53">
        <f>(J465+J470)- J474</f>
        <v>966973.86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290901.3</v>
      </c>
      <c r="G521" s="18">
        <v>111364.48</v>
      </c>
      <c r="H521" s="18">
        <v>48976.800000000003</v>
      </c>
      <c r="I521" s="18">
        <v>4154.9799999999996</v>
      </c>
      <c r="J521" s="18"/>
      <c r="K521" s="18"/>
      <c r="L521" s="88">
        <f>SUM(F521:K521)</f>
        <v>455397.55999999994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290901.3</v>
      </c>
      <c r="G524" s="108">
        <f t="shared" ref="G524:L524" si="36">SUM(G521:G523)</f>
        <v>111364.48</v>
      </c>
      <c r="H524" s="108">
        <f t="shared" si="36"/>
        <v>48976.800000000003</v>
      </c>
      <c r="I524" s="108">
        <f t="shared" si="36"/>
        <v>4154.9799999999996</v>
      </c>
      <c r="J524" s="108">
        <f t="shared" si="36"/>
        <v>0</v>
      </c>
      <c r="K524" s="108">
        <f t="shared" si="36"/>
        <v>0</v>
      </c>
      <c r="L524" s="89">
        <f t="shared" si="36"/>
        <v>455397.55999999994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76747.7</v>
      </c>
      <c r="G526" s="18">
        <v>34351.21</v>
      </c>
      <c r="H526" s="18">
        <v>15932.1</v>
      </c>
      <c r="I526" s="18"/>
      <c r="J526" s="18"/>
      <c r="K526" s="18"/>
      <c r="L526" s="88">
        <f>SUM(F526:K526)</f>
        <v>127031.01000000001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76747.7</v>
      </c>
      <c r="G529" s="89">
        <f t="shared" ref="G529:L529" si="37">SUM(G526:G528)</f>
        <v>34351.21</v>
      </c>
      <c r="H529" s="89">
        <f t="shared" si="37"/>
        <v>15932.1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127031.01000000001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35332.85</v>
      </c>
      <c r="G531" s="18">
        <v>13666.6</v>
      </c>
      <c r="H531" s="18">
        <v>2486.2800000000002</v>
      </c>
      <c r="I531" s="18">
        <v>761.44</v>
      </c>
      <c r="J531" s="18">
        <v>57.79</v>
      </c>
      <c r="K531" s="18"/>
      <c r="L531" s="88">
        <f>SUM(F531:K531)</f>
        <v>52304.959999999999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35332.85</v>
      </c>
      <c r="G534" s="89">
        <f t="shared" ref="G534:L534" si="38">SUM(G531:G533)</f>
        <v>13666.6</v>
      </c>
      <c r="H534" s="89">
        <f t="shared" si="38"/>
        <v>2486.2800000000002</v>
      </c>
      <c r="I534" s="89">
        <f t="shared" si="38"/>
        <v>761.44</v>
      </c>
      <c r="J534" s="89">
        <f t="shared" si="38"/>
        <v>57.79</v>
      </c>
      <c r="K534" s="89">
        <f t="shared" si="38"/>
        <v>0</v>
      </c>
      <c r="L534" s="89">
        <f t="shared" si="38"/>
        <v>52304.959999999999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3992</v>
      </c>
      <c r="I541" s="18"/>
      <c r="J541" s="18"/>
      <c r="K541" s="18"/>
      <c r="L541" s="88">
        <f>SUM(F541:K541)</f>
        <v>3992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3992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3992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402981.85</v>
      </c>
      <c r="G545" s="89">
        <f t="shared" ref="G545:L545" si="41">G524+G529+G534+G539+G544</f>
        <v>159382.29</v>
      </c>
      <c r="H545" s="89">
        <f t="shared" si="41"/>
        <v>71387.180000000008</v>
      </c>
      <c r="I545" s="89">
        <f t="shared" si="41"/>
        <v>4916.42</v>
      </c>
      <c r="J545" s="89">
        <f t="shared" si="41"/>
        <v>57.79</v>
      </c>
      <c r="K545" s="89">
        <f t="shared" si="41"/>
        <v>0</v>
      </c>
      <c r="L545" s="89">
        <f t="shared" si="41"/>
        <v>638725.52999999991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455397.55999999994</v>
      </c>
      <c r="G549" s="87">
        <f>L526</f>
        <v>127031.01000000001</v>
      </c>
      <c r="H549" s="87">
        <f>L531</f>
        <v>52304.959999999999</v>
      </c>
      <c r="I549" s="87">
        <f>L536</f>
        <v>0</v>
      </c>
      <c r="J549" s="87">
        <f>L541</f>
        <v>3992</v>
      </c>
      <c r="K549" s="87">
        <f>SUM(F549:J549)</f>
        <v>638725.52999999991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455397.55999999994</v>
      </c>
      <c r="G552" s="89">
        <f t="shared" si="42"/>
        <v>127031.01000000001</v>
      </c>
      <c r="H552" s="89">
        <f t="shared" si="42"/>
        <v>52304.959999999999</v>
      </c>
      <c r="I552" s="89">
        <f t="shared" si="42"/>
        <v>0</v>
      </c>
      <c r="J552" s="89">
        <f t="shared" si="42"/>
        <v>3992</v>
      </c>
      <c r="K552" s="89">
        <f t="shared" si="42"/>
        <v>638725.52999999991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18205.919999999998</v>
      </c>
      <c r="G582" s="18"/>
      <c r="H582" s="18"/>
      <c r="I582" s="87">
        <f t="shared" si="47"/>
        <v>18205.919999999998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87804</v>
      </c>
      <c r="I591" s="18"/>
      <c r="J591" s="18"/>
      <c r="K591" s="104">
        <f t="shared" ref="K591:K597" si="48">SUM(H591:J591)</f>
        <v>87804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3992</v>
      </c>
      <c r="I592" s="18"/>
      <c r="J592" s="18"/>
      <c r="K592" s="104">
        <f t="shared" si="48"/>
        <v>3992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91796</v>
      </c>
      <c r="I598" s="108">
        <f>SUM(I591:I597)</f>
        <v>0</v>
      </c>
      <c r="J598" s="108">
        <f>SUM(J591:J597)</f>
        <v>0</v>
      </c>
      <c r="K598" s="108">
        <f>SUM(K591:K597)</f>
        <v>91796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41463.339999999997</v>
      </c>
      <c r="I604" s="18"/>
      <c r="J604" s="18"/>
      <c r="K604" s="104">
        <f>SUM(H604:J604)</f>
        <v>41463.339999999997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41463.339999999997</v>
      </c>
      <c r="I605" s="108">
        <f>SUM(I602:I604)</f>
        <v>0</v>
      </c>
      <c r="J605" s="108">
        <f>SUM(J602:J604)</f>
        <v>0</v>
      </c>
      <c r="K605" s="108">
        <f>SUM(K602:K604)</f>
        <v>41463.339999999997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134780.82</v>
      </c>
      <c r="H617" s="109">
        <f>SUM(F52)</f>
        <v>134780.82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4603.82</v>
      </c>
      <c r="H618" s="109">
        <f>SUM(G52)</f>
        <v>4603.8200000000006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15250.75</v>
      </c>
      <c r="H619" s="109">
        <f>SUM(H52)</f>
        <v>15250.75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966973.86</v>
      </c>
      <c r="H621" s="109">
        <f>SUM(J52)</f>
        <v>966973.86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39974.18</v>
      </c>
      <c r="H622" s="109">
        <f>F476</f>
        <v>39974.180000000168</v>
      </c>
      <c r="I622" s="121" t="s">
        <v>101</v>
      </c>
      <c r="J622" s="109">
        <f t="shared" ref="J622:J655" si="50">G622-H622</f>
        <v>-1.673470251262188E-10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1004.6</v>
      </c>
      <c r="H623" s="109">
        <f>G476</f>
        <v>1004.5999999999985</v>
      </c>
      <c r="I623" s="121" t="s">
        <v>102</v>
      </c>
      <c r="J623" s="109">
        <f t="shared" si="50"/>
        <v>1.4779288903810084E-12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1660.95</v>
      </c>
      <c r="H624" s="109">
        <f>H476</f>
        <v>1660.95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966973.86</v>
      </c>
      <c r="H626" s="109">
        <f>J476</f>
        <v>966973.86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2643871.8299999996</v>
      </c>
      <c r="H627" s="104">
        <f>SUM(F468)</f>
        <v>2643871.83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60550.509999999995</v>
      </c>
      <c r="H628" s="104">
        <f>SUM(G468)</f>
        <v>60550.51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32708.02</v>
      </c>
      <c r="H631" s="104">
        <f>SUM(J468)</f>
        <v>32708.02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2646311.77</v>
      </c>
      <c r="H632" s="104">
        <f>SUM(F472)</f>
        <v>2646311.77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30235.26</v>
      </c>
      <c r="H634" s="104">
        <f>I369</f>
        <v>30235.26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59545.909999999996</v>
      </c>
      <c r="H635" s="104">
        <f>SUM(G472)</f>
        <v>59545.91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32708.02</v>
      </c>
      <c r="H637" s="164">
        <f>SUM(J468)</f>
        <v>32708.02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18250.75</v>
      </c>
      <c r="H638" s="164">
        <f>SUM(J472)</f>
        <v>18250.75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717669.11</v>
      </c>
      <c r="H639" s="104">
        <f>SUM(F461)</f>
        <v>717669.11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249304.75</v>
      </c>
      <c r="H640" s="104">
        <f>SUM(G461)</f>
        <v>249304.75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966973.86</v>
      </c>
      <c r="H642" s="104">
        <f>SUM(I461)</f>
        <v>966973.86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32708.02</v>
      </c>
      <c r="H644" s="104">
        <f>H408</f>
        <v>32708.02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32708.02</v>
      </c>
      <c r="H646" s="104">
        <f>L408</f>
        <v>32708.02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91796</v>
      </c>
      <c r="H647" s="104">
        <f>L208+L226+L244</f>
        <v>91796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41463.339999999997</v>
      </c>
      <c r="H648" s="104">
        <f>(J257+J338)-(J255+J336)</f>
        <v>41463.339999999997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91796</v>
      </c>
      <c r="H649" s="104">
        <f>H598</f>
        <v>91796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2705857.68</v>
      </c>
      <c r="G660" s="19">
        <f>(L229+L309+L359)</f>
        <v>0</v>
      </c>
      <c r="H660" s="19">
        <f>(L247+L328+L360)</f>
        <v>0</v>
      </c>
      <c r="I660" s="19">
        <f>SUM(F660:H660)</f>
        <v>2705857.68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46190.38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46190.38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91796</v>
      </c>
      <c r="G662" s="19">
        <f>(L226+L306)-(J226+J306)</f>
        <v>0</v>
      </c>
      <c r="H662" s="19">
        <f>(L244+L325)-(J244+J325)</f>
        <v>0</v>
      </c>
      <c r="I662" s="19">
        <f>SUM(F662:H662)</f>
        <v>91796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59669.259999999995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59669.259999999995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2508202.04</v>
      </c>
      <c r="G664" s="19">
        <f>G660-SUM(G661:G663)</f>
        <v>0</v>
      </c>
      <c r="H664" s="19">
        <f>H660-SUM(H661:H663)</f>
        <v>0</v>
      </c>
      <c r="I664" s="19">
        <f>I660-SUM(I661:I663)</f>
        <v>2508202.04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154.53</v>
      </c>
      <c r="G665" s="248"/>
      <c r="H665" s="248"/>
      <c r="I665" s="19">
        <f>SUM(F665:H665)</f>
        <v>154.53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16231.17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16231.17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16231.17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16231.17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zoomScale="150" zoomScaleNormal="150" workbookViewId="0">
      <selection activeCell="D41" sqref="D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EAST KINGSTON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799120.17</v>
      </c>
      <c r="C9" s="229">
        <f>'DOE25'!G197+'DOE25'!G215+'DOE25'!G233+'DOE25'!G276+'DOE25'!G295+'DOE25'!G314</f>
        <v>360919</v>
      </c>
    </row>
    <row r="10" spans="1:3" x14ac:dyDescent="0.2">
      <c r="A10" t="s">
        <v>778</v>
      </c>
      <c r="B10" s="240">
        <v>783768.34</v>
      </c>
      <c r="C10" s="240">
        <v>353985.42</v>
      </c>
    </row>
    <row r="11" spans="1:3" x14ac:dyDescent="0.2">
      <c r="A11" t="s">
        <v>779</v>
      </c>
      <c r="B11" s="240">
        <v>0</v>
      </c>
      <c r="C11" s="240">
        <v>0</v>
      </c>
    </row>
    <row r="12" spans="1:3" x14ac:dyDescent="0.2">
      <c r="A12" t="s">
        <v>780</v>
      </c>
      <c r="B12" s="240">
        <v>15351.83</v>
      </c>
      <c r="C12" s="240">
        <v>6933.58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799120.16999999993</v>
      </c>
      <c r="C13" s="231">
        <f>SUM(C10:C12)</f>
        <v>360919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290901.3</v>
      </c>
      <c r="C18" s="229">
        <f>'DOE25'!G198+'DOE25'!G216+'DOE25'!G234+'DOE25'!G277+'DOE25'!G296+'DOE25'!G315</f>
        <v>111364.48</v>
      </c>
    </row>
    <row r="19" spans="1:3" x14ac:dyDescent="0.2">
      <c r="A19" t="s">
        <v>778</v>
      </c>
      <c r="B19" s="240">
        <v>127230.92</v>
      </c>
      <c r="C19" s="240">
        <v>48707.26</v>
      </c>
    </row>
    <row r="20" spans="1:3" x14ac:dyDescent="0.2">
      <c r="A20" t="s">
        <v>779</v>
      </c>
      <c r="B20" s="240">
        <v>163670.38</v>
      </c>
      <c r="C20" s="240">
        <v>62657.22</v>
      </c>
    </row>
    <row r="21" spans="1:3" x14ac:dyDescent="0.2">
      <c r="A21" t="s">
        <v>780</v>
      </c>
      <c r="B21" s="240">
        <v>0</v>
      </c>
      <c r="C21" s="240">
        <v>0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290901.3</v>
      </c>
      <c r="C22" s="231">
        <f>SUM(C19:C21)</f>
        <v>111364.48000000001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4670</v>
      </c>
      <c r="C36" s="235">
        <f>'DOE25'!G200+'DOE25'!G218+'DOE25'!G236+'DOE25'!G279+'DOE25'!G298+'DOE25'!G317</f>
        <v>1462.17</v>
      </c>
    </row>
    <row r="37" spans="1:3" x14ac:dyDescent="0.2">
      <c r="A37" t="s">
        <v>778</v>
      </c>
      <c r="B37" s="240">
        <v>4000</v>
      </c>
      <c r="C37" s="240">
        <v>1252.3900000000001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670</v>
      </c>
      <c r="C39" s="240">
        <v>209.78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4670</v>
      </c>
      <c r="C40" s="231">
        <f>SUM(C37:C39)</f>
        <v>1462.17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EAST KINGSTON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1642594.7199999997</v>
      </c>
      <c r="D5" s="20">
        <f>SUM('DOE25'!L197:L200)+SUM('DOE25'!L215:L218)+SUM('DOE25'!L233:L236)-F5-G5</f>
        <v>1638778.4399999997</v>
      </c>
      <c r="E5" s="243"/>
      <c r="F5" s="255">
        <f>SUM('DOE25'!J197:J200)+SUM('DOE25'!J215:J218)+SUM('DOE25'!J233:J236)</f>
        <v>3169.82</v>
      </c>
      <c r="G5" s="53">
        <f>SUM('DOE25'!K197:K200)+SUM('DOE25'!K215:K218)+SUM('DOE25'!K233:K236)</f>
        <v>646.46</v>
      </c>
      <c r="H5" s="259"/>
    </row>
    <row r="6" spans="1:9" x14ac:dyDescent="0.2">
      <c r="A6" s="32">
        <v>2100</v>
      </c>
      <c r="B6" t="s">
        <v>800</v>
      </c>
      <c r="C6" s="245">
        <f t="shared" si="0"/>
        <v>235524.09</v>
      </c>
      <c r="D6" s="20">
        <f>'DOE25'!L202+'DOE25'!L220+'DOE25'!L238-F6-G6</f>
        <v>235524.09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127241.21</v>
      </c>
      <c r="D7" s="20">
        <f>'DOE25'!L203+'DOE25'!L221+'DOE25'!L239-F7-G7</f>
        <v>109986.19</v>
      </c>
      <c r="E7" s="243"/>
      <c r="F7" s="255">
        <f>'DOE25'!J203+'DOE25'!J221+'DOE25'!J239</f>
        <v>17255.02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54804.57</v>
      </c>
      <c r="D8" s="243"/>
      <c r="E8" s="20">
        <f>'DOE25'!L204+'DOE25'!L222+'DOE25'!L240-F8-G8-D9-D11</f>
        <v>54804.57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5840</v>
      </c>
      <c r="D9" s="244">
        <v>5840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7099.75</v>
      </c>
      <c r="D10" s="243"/>
      <c r="E10" s="244">
        <v>7099.75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7599.93</v>
      </c>
      <c r="D11" s="244">
        <v>7599.93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288428.57</v>
      </c>
      <c r="D12" s="20">
        <f>'DOE25'!L205+'DOE25'!L223+'DOE25'!L241-F12-G12</f>
        <v>287807.52</v>
      </c>
      <c r="E12" s="243"/>
      <c r="F12" s="255">
        <f>'DOE25'!J205+'DOE25'!J223+'DOE25'!J241</f>
        <v>309.06</v>
      </c>
      <c r="G12" s="53">
        <f>'DOE25'!K205+'DOE25'!K223+'DOE25'!K241</f>
        <v>311.99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192482.68</v>
      </c>
      <c r="D14" s="20">
        <f>'DOE25'!L207+'DOE25'!L225+'DOE25'!L243-F14-G14</f>
        <v>171753.24</v>
      </c>
      <c r="E14" s="243"/>
      <c r="F14" s="255">
        <f>'DOE25'!J207+'DOE25'!J225+'DOE25'!J243</f>
        <v>20729.439999999999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91796</v>
      </c>
      <c r="D15" s="20">
        <f>'DOE25'!L208+'DOE25'!L226+'DOE25'!L244-F15-G15</f>
        <v>91796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29310.649999999998</v>
      </c>
      <c r="D29" s="20">
        <f>'DOE25'!L358+'DOE25'!L359+'DOE25'!L360-'DOE25'!I367-F29-G29</f>
        <v>29310.649999999998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2578396.06</v>
      </c>
      <c r="E33" s="246">
        <f>SUM(E5:E31)</f>
        <v>61904.32</v>
      </c>
      <c r="F33" s="246">
        <f>SUM(F5:F31)</f>
        <v>41463.339999999997</v>
      </c>
      <c r="G33" s="246">
        <f>SUM(G5:G31)</f>
        <v>958.45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61904.32</v>
      </c>
      <c r="E35" s="249"/>
    </row>
    <row r="36" spans="2:8" ht="12" thickTop="1" x14ac:dyDescent="0.2">
      <c r="B36" t="s">
        <v>814</v>
      </c>
      <c r="D36" s="20">
        <f>D33</f>
        <v>2578396.06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6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EAST KINGSTON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36793.449999999997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94107.99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966973.86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658.69</v>
      </c>
      <c r="D12" s="95">
        <f>'DOE25'!G13</f>
        <v>855.52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3220.69</v>
      </c>
      <c r="D13" s="95">
        <f>'DOE25'!G14</f>
        <v>0</v>
      </c>
      <c r="E13" s="95">
        <f>'DOE25'!H14</f>
        <v>15250.75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3748.3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134780.82</v>
      </c>
      <c r="D18" s="41">
        <f>SUM(D8:D17)</f>
        <v>4603.82</v>
      </c>
      <c r="E18" s="41">
        <f>SUM(E8:E17)</f>
        <v>15250.75</v>
      </c>
      <c r="F18" s="41">
        <f>SUM(F8:F17)</f>
        <v>0</v>
      </c>
      <c r="G18" s="41">
        <f>SUM(G8:G17)</f>
        <v>966973.86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-16154.01</v>
      </c>
      <c r="D21" s="95">
        <f>'DOE25'!G22</f>
        <v>2564.21</v>
      </c>
      <c r="E21" s="95">
        <f>'DOE25'!H22</f>
        <v>13589.8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118.5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110842.15</v>
      </c>
      <c r="D23" s="95">
        <f>'DOE25'!G24</f>
        <v>1035.01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94806.64</v>
      </c>
      <c r="D31" s="41">
        <f>SUM(D21:D30)</f>
        <v>3599.2200000000003</v>
      </c>
      <c r="E31" s="41">
        <f>SUM(E21:E30)</f>
        <v>13589.8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1004.6</v>
      </c>
      <c r="E47" s="95">
        <f>'DOE25'!H48</f>
        <v>1660.95</v>
      </c>
      <c r="F47" s="95">
        <f>'DOE25'!I48</f>
        <v>0</v>
      </c>
      <c r="G47" s="95">
        <f>'DOE25'!J48</f>
        <v>966973.86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39974.18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39974.18</v>
      </c>
      <c r="D50" s="41">
        <f>SUM(D34:D49)</f>
        <v>1004.6</v>
      </c>
      <c r="E50" s="41">
        <f>SUM(E34:E49)</f>
        <v>1660.95</v>
      </c>
      <c r="F50" s="41">
        <f>SUM(F34:F49)</f>
        <v>0</v>
      </c>
      <c r="G50" s="41">
        <f>SUM(G34:G49)</f>
        <v>966973.86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134780.82</v>
      </c>
      <c r="D51" s="41">
        <f>D50+D31</f>
        <v>4603.8200000000006</v>
      </c>
      <c r="E51" s="41">
        <f>E50+E31</f>
        <v>15250.75</v>
      </c>
      <c r="F51" s="41">
        <f>F50+F31</f>
        <v>0</v>
      </c>
      <c r="G51" s="41">
        <f>G50+G31</f>
        <v>966973.86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2040521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366.63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32708.02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46190.38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21861.1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22227.73</v>
      </c>
      <c r="D62" s="130">
        <f>SUM(D57:D61)</f>
        <v>46190.38</v>
      </c>
      <c r="E62" s="130">
        <f>SUM(E57:E61)</f>
        <v>0</v>
      </c>
      <c r="F62" s="130">
        <f>SUM(F57:F61)</f>
        <v>0</v>
      </c>
      <c r="G62" s="130">
        <f>SUM(G57:G61)</f>
        <v>32708.02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2062748.73</v>
      </c>
      <c r="D63" s="22">
        <f>D56+D62</f>
        <v>46190.38</v>
      </c>
      <c r="E63" s="22">
        <f>E56+E62</f>
        <v>0</v>
      </c>
      <c r="F63" s="22">
        <f>F56+F62</f>
        <v>0</v>
      </c>
      <c r="G63" s="22">
        <f>G56+G62</f>
        <v>32708.02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287993.57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260410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16147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564550.57000000007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1637.29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1637.29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564550.57000000007</v>
      </c>
      <c r="D81" s="130">
        <f>SUM(D79:D80)+D78+D70</f>
        <v>1637.29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16572.53</v>
      </c>
      <c r="D88" s="95">
        <f>SUM('DOE25'!G153:G161)</f>
        <v>12722.84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16572.53</v>
      </c>
      <c r="D91" s="131">
        <f>SUM(D85:D90)</f>
        <v>12722.84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2643871.8299999996</v>
      </c>
      <c r="D104" s="86">
        <f>D63+D81+D91+D103</f>
        <v>60550.509999999995</v>
      </c>
      <c r="E104" s="86">
        <f>E63+E81+E91+E103</f>
        <v>0</v>
      </c>
      <c r="F104" s="86">
        <f>F63+F81+F91+F103</f>
        <v>0</v>
      </c>
      <c r="G104" s="86">
        <f>G63+G81+G103</f>
        <v>32708.02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1180418.53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455397.55999999994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6778.63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1642594.7199999997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235524.09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127241.21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68244.5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288428.57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192482.68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91796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59545.909999999996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1003717.05</v>
      </c>
      <c r="D128" s="86">
        <f>SUM(D118:D127)</f>
        <v>59545.909999999996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22108.52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10599.5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-32708.02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2646311.7699999996</v>
      </c>
      <c r="D145" s="86">
        <f>(D115+D128+D144)</f>
        <v>59545.909999999996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EAST KINGSTON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16231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16231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1180419</v>
      </c>
      <c r="D10" s="182">
        <f>ROUND((C10/$C$28)*100,1)</f>
        <v>44.4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455398</v>
      </c>
      <c r="D11" s="182">
        <f>ROUND((C11/$C$28)*100,1)</f>
        <v>17.100000000000001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6779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235524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127241</v>
      </c>
      <c r="D16" s="182">
        <f t="shared" si="0"/>
        <v>4.8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68245</v>
      </c>
      <c r="D17" s="182">
        <f t="shared" si="0"/>
        <v>2.6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288429</v>
      </c>
      <c r="D18" s="182">
        <f t="shared" si="0"/>
        <v>10.8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192483</v>
      </c>
      <c r="D20" s="182">
        <f t="shared" si="0"/>
        <v>7.2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91796</v>
      </c>
      <c r="D21" s="182">
        <f t="shared" si="0"/>
        <v>3.5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13355.620000000003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2659669.62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2659669.62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2040521</v>
      </c>
      <c r="D35" s="182">
        <f t="shared" ref="D35:D40" si="1">ROUND((C35/$C$41)*100,1)</f>
        <v>75.8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54935.75</v>
      </c>
      <c r="D36" s="182">
        <f t="shared" si="1"/>
        <v>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548404</v>
      </c>
      <c r="D37" s="182">
        <f t="shared" si="1"/>
        <v>20.399999999999999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17784</v>
      </c>
      <c r="D38" s="182">
        <f t="shared" si="1"/>
        <v>0.7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29295</v>
      </c>
      <c r="D39" s="182">
        <f t="shared" si="1"/>
        <v>1.1000000000000001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2690939.75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EAST KINGSTON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2017-09-12T15:21:17Z</cp:lastPrinted>
  <dcterms:created xsi:type="dcterms:W3CDTF">1997-12-04T19:04:30Z</dcterms:created>
  <dcterms:modified xsi:type="dcterms:W3CDTF">2017-11-29T17:21:13Z</dcterms:modified>
</cp:coreProperties>
</file>