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7470" windowHeight="15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'DOE25'!$A$1:$L$674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48" i="1" l="1"/>
  <c r="H22" i="1"/>
  <c r="H204" i="1"/>
  <c r="H222" i="1"/>
  <c r="H240" i="1"/>
  <c r="F22" i="1"/>
  <c r="G48" i="1"/>
  <c r="F24" i="1"/>
  <c r="F557" i="1"/>
  <c r="I557" i="1"/>
  <c r="H557" i="1"/>
  <c r="I562" i="1"/>
  <c r="G562" i="1"/>
  <c r="F562" i="1"/>
  <c r="F528" i="1"/>
  <c r="I528" i="1"/>
  <c r="I527" i="1"/>
  <c r="G528" i="1"/>
  <c r="J528" i="1"/>
  <c r="J527" i="1"/>
  <c r="J526" i="1"/>
  <c r="I526" i="1"/>
  <c r="H528" i="1"/>
  <c r="H527" i="1"/>
  <c r="H526" i="1"/>
  <c r="G527" i="1"/>
  <c r="G526" i="1"/>
  <c r="F527" i="1"/>
  <c r="F526" i="1"/>
  <c r="F531" i="1"/>
  <c r="I533" i="1"/>
  <c r="I532" i="1"/>
  <c r="I531" i="1"/>
  <c r="H533" i="1"/>
  <c r="H532" i="1"/>
  <c r="H531" i="1"/>
  <c r="G533" i="1"/>
  <c r="G532" i="1"/>
  <c r="G531" i="1"/>
  <c r="F533" i="1"/>
  <c r="F532" i="1"/>
  <c r="H543" i="1"/>
  <c r="J523" i="1"/>
  <c r="I523" i="1"/>
  <c r="H523" i="1"/>
  <c r="G523" i="1"/>
  <c r="F523" i="1"/>
  <c r="F522" i="1"/>
  <c r="J522" i="1"/>
  <c r="I522" i="1"/>
  <c r="H522" i="1"/>
  <c r="G522" i="1"/>
  <c r="J521" i="1"/>
  <c r="I521" i="1"/>
  <c r="H521" i="1"/>
  <c r="G521" i="1"/>
  <c r="F521" i="1"/>
  <c r="F315" i="1"/>
  <c r="G315" i="1"/>
  <c r="G296" i="1"/>
  <c r="G277" i="1"/>
  <c r="F296" i="1"/>
  <c r="F277" i="1"/>
  <c r="C39" i="12"/>
  <c r="C37" i="12"/>
  <c r="C19" i="12"/>
  <c r="C20" i="12"/>
  <c r="C10" i="12"/>
  <c r="C11" i="12"/>
  <c r="C12" i="12"/>
  <c r="B39" i="12"/>
  <c r="B37" i="12"/>
  <c r="B19" i="12"/>
  <c r="B21" i="12"/>
  <c r="B20" i="12"/>
  <c r="B10" i="12"/>
  <c r="B12" i="12"/>
  <c r="B11" i="12"/>
  <c r="K204" i="1" l="1"/>
  <c r="K222" i="1"/>
  <c r="K240" i="1"/>
  <c r="I613" i="1"/>
  <c r="G613" i="1"/>
  <c r="F613" i="1"/>
  <c r="G612" i="1"/>
  <c r="F612" i="1"/>
  <c r="I612" i="1"/>
  <c r="I611" i="1"/>
  <c r="G611" i="1"/>
  <c r="F611" i="1"/>
  <c r="J604" i="1"/>
  <c r="I604" i="1"/>
  <c r="H604" i="1"/>
  <c r="J591" i="1"/>
  <c r="J592" i="1"/>
  <c r="I591" i="1"/>
  <c r="H591" i="1"/>
  <c r="F499" i="1" l="1"/>
  <c r="F502" i="1"/>
  <c r="I320" i="1"/>
  <c r="I319" i="1"/>
  <c r="G319" i="1"/>
  <c r="F319" i="1"/>
  <c r="I314" i="1"/>
  <c r="I301" i="1"/>
  <c r="I300" i="1"/>
  <c r="I281" i="1"/>
  <c r="K344" i="1" l="1"/>
  <c r="F282" i="1"/>
  <c r="F300" i="1"/>
  <c r="H320" i="1"/>
  <c r="G320" i="1"/>
  <c r="F320" i="1"/>
  <c r="G321" i="1"/>
  <c r="F321" i="1"/>
  <c r="J315" i="1"/>
  <c r="H301" i="1"/>
  <c r="G301" i="1"/>
  <c r="F301" i="1"/>
  <c r="G302" i="1"/>
  <c r="F302" i="1"/>
  <c r="G300" i="1"/>
  <c r="J296" i="1"/>
  <c r="G282" i="1"/>
  <c r="I282" i="1"/>
  <c r="H282" i="1"/>
  <c r="G283" i="1"/>
  <c r="F283" i="1"/>
  <c r="G281" i="1"/>
  <c r="J277" i="1"/>
  <c r="H368" i="1"/>
  <c r="G368" i="1"/>
  <c r="F368" i="1"/>
  <c r="H367" i="1"/>
  <c r="G367" i="1"/>
  <c r="F367" i="1"/>
  <c r="G239" i="1" l="1"/>
  <c r="G233" i="1"/>
  <c r="F233" i="1"/>
  <c r="H244" i="1"/>
  <c r="I243" i="1"/>
  <c r="H243" i="1"/>
  <c r="G243" i="1"/>
  <c r="F243" i="1"/>
  <c r="I240" i="1"/>
  <c r="G240" i="1"/>
  <c r="F240" i="1"/>
  <c r="J239" i="1"/>
  <c r="K239" i="1"/>
  <c r="I239" i="1"/>
  <c r="H239" i="1"/>
  <c r="F239" i="1"/>
  <c r="J238" i="1"/>
  <c r="I238" i="1"/>
  <c r="H238" i="1"/>
  <c r="G238" i="1"/>
  <c r="F238" i="1"/>
  <c r="I234" i="1"/>
  <c r="G234" i="1"/>
  <c r="F234" i="1"/>
  <c r="H234" i="1"/>
  <c r="H233" i="1"/>
  <c r="G215" i="1" l="1"/>
  <c r="G220" i="1"/>
  <c r="F215" i="1"/>
  <c r="H226" i="1"/>
  <c r="I225" i="1"/>
  <c r="H225" i="1"/>
  <c r="G225" i="1"/>
  <c r="F225" i="1"/>
  <c r="I222" i="1"/>
  <c r="G222" i="1"/>
  <c r="F222" i="1"/>
  <c r="J221" i="1"/>
  <c r="I221" i="1"/>
  <c r="H221" i="1"/>
  <c r="G221" i="1"/>
  <c r="F221" i="1"/>
  <c r="K221" i="1"/>
  <c r="J220" i="1"/>
  <c r="I220" i="1"/>
  <c r="H220" i="1"/>
  <c r="F220" i="1"/>
  <c r="I216" i="1"/>
  <c r="G216" i="1"/>
  <c r="F216" i="1"/>
  <c r="H216" i="1"/>
  <c r="I215" i="1"/>
  <c r="G197" i="1"/>
  <c r="F197" i="1"/>
  <c r="G205" i="1"/>
  <c r="F203" i="1"/>
  <c r="F198" i="1"/>
  <c r="H208" i="1"/>
  <c r="J207" i="1"/>
  <c r="I207" i="1"/>
  <c r="H207" i="1"/>
  <c r="G207" i="1"/>
  <c r="F207" i="1"/>
  <c r="I204" i="1"/>
  <c r="G204" i="1"/>
  <c r="F204" i="1"/>
  <c r="J203" i="1"/>
  <c r="I203" i="1"/>
  <c r="H203" i="1"/>
  <c r="G203" i="1"/>
  <c r="K203" i="1"/>
  <c r="J202" i="1"/>
  <c r="I202" i="1"/>
  <c r="G202" i="1"/>
  <c r="F202" i="1"/>
  <c r="H202" i="1"/>
  <c r="I198" i="1"/>
  <c r="G198" i="1"/>
  <c r="H198" i="1"/>
  <c r="K241" i="1"/>
  <c r="I241" i="1"/>
  <c r="H241" i="1"/>
  <c r="G241" i="1"/>
  <c r="F241" i="1"/>
  <c r="K236" i="1"/>
  <c r="J236" i="1"/>
  <c r="I236" i="1"/>
  <c r="H236" i="1"/>
  <c r="G236" i="1"/>
  <c r="F236" i="1"/>
  <c r="H235" i="1"/>
  <c r="K233" i="1"/>
  <c r="J233" i="1"/>
  <c r="I233" i="1"/>
  <c r="G218" i="1"/>
  <c r="F218" i="1"/>
  <c r="G223" i="1"/>
  <c r="K223" i="1"/>
  <c r="H223" i="1"/>
  <c r="F223" i="1"/>
  <c r="K218" i="1"/>
  <c r="J218" i="1"/>
  <c r="I218" i="1"/>
  <c r="H218" i="1"/>
  <c r="J216" i="1"/>
  <c r="J215" i="1"/>
  <c r="H215" i="1"/>
  <c r="J198" i="1"/>
  <c r="I197" i="1"/>
  <c r="J205" i="1"/>
  <c r="H205" i="1"/>
  <c r="F205" i="1"/>
  <c r="G200" i="1"/>
  <c r="F200" i="1"/>
  <c r="J197" i="1"/>
  <c r="G22" i="1" l="1"/>
  <c r="F12" i="1"/>
  <c r="F28" i="1"/>
  <c r="H155" i="1" l="1"/>
  <c r="H159" i="1"/>
  <c r="G158" i="1"/>
  <c r="G132" i="1"/>
  <c r="G97" i="1"/>
  <c r="F110" i="1"/>
  <c r="F6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I169" i="1" s="1"/>
  <c r="I162" i="1"/>
  <c r="C21" i="10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E57" i="2"/>
  <c r="E58" i="2"/>
  <c r="C59" i="2"/>
  <c r="D59" i="2"/>
  <c r="E59" i="2"/>
  <c r="F59" i="2"/>
  <c r="D60" i="2"/>
  <c r="D62" i="2" s="1"/>
  <c r="C61" i="2"/>
  <c r="D61" i="2"/>
  <c r="E61" i="2"/>
  <c r="E62" i="2" s="1"/>
  <c r="E63" i="2" s="1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E76" i="2"/>
  <c r="F76" i="2"/>
  <c r="C77" i="2"/>
  <c r="D77" i="2"/>
  <c r="D78" i="2" s="1"/>
  <c r="D81" i="2" s="1"/>
  <c r="E77" i="2"/>
  <c r="E78" i="2" s="1"/>
  <c r="E81" i="2" s="1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1" i="2"/>
  <c r="E112" i="2"/>
  <c r="C113" i="2"/>
  <c r="E113" i="2"/>
  <c r="E114" i="2"/>
  <c r="D115" i="2"/>
  <c r="F115" i="2"/>
  <c r="G115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F470" i="1"/>
  <c r="G470" i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I571" i="1" s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51" i="1"/>
  <c r="D18" i="13"/>
  <c r="C18" i="13" s="1"/>
  <c r="D17" i="13"/>
  <c r="C17" i="13" s="1"/>
  <c r="F78" i="2"/>
  <c r="F81" i="2" s="1"/>
  <c r="F18" i="2"/>
  <c r="G156" i="2"/>
  <c r="E103" i="2"/>
  <c r="G62" i="2"/>
  <c r="D19" i="13"/>
  <c r="C19" i="13" s="1"/>
  <c r="E13" i="13"/>
  <c r="C13" i="13" s="1"/>
  <c r="J571" i="1"/>
  <c r="F169" i="1"/>
  <c r="I552" i="1"/>
  <c r="K549" i="1"/>
  <c r="G22" i="2"/>
  <c r="L401" i="1"/>
  <c r="C139" i="2" s="1"/>
  <c r="F22" i="13"/>
  <c r="E16" i="13"/>
  <c r="G36" i="2"/>
  <c r="C22" i="13"/>
  <c r="F571" i="1" l="1"/>
  <c r="L560" i="1"/>
  <c r="L571" i="1" s="1"/>
  <c r="K551" i="1"/>
  <c r="G552" i="1"/>
  <c r="L529" i="1"/>
  <c r="K545" i="1"/>
  <c r="I545" i="1"/>
  <c r="H552" i="1"/>
  <c r="H545" i="1"/>
  <c r="J545" i="1"/>
  <c r="L309" i="1"/>
  <c r="F552" i="1"/>
  <c r="G192" i="1"/>
  <c r="L614" i="1"/>
  <c r="K605" i="1"/>
  <c r="G648" i="1" s="1"/>
  <c r="K598" i="1"/>
  <c r="G647" i="1" s="1"/>
  <c r="J651" i="1"/>
  <c r="H476" i="1"/>
  <c r="H624" i="1" s="1"/>
  <c r="G476" i="1"/>
  <c r="H623" i="1" s="1"/>
  <c r="J623" i="1" s="1"/>
  <c r="F476" i="1"/>
  <c r="H622" i="1" s="1"/>
  <c r="J622" i="1" s="1"/>
  <c r="H338" i="1"/>
  <c r="H352" i="1" s="1"/>
  <c r="L328" i="1"/>
  <c r="E118" i="2"/>
  <c r="J338" i="1"/>
  <c r="J352" i="1" s="1"/>
  <c r="G338" i="1"/>
  <c r="G352" i="1" s="1"/>
  <c r="F338" i="1"/>
  <c r="F352" i="1" s="1"/>
  <c r="E119" i="2"/>
  <c r="C10" i="10"/>
  <c r="E115" i="2"/>
  <c r="L290" i="1"/>
  <c r="I369" i="1"/>
  <c r="H634" i="1" s="1"/>
  <c r="J634" i="1" s="1"/>
  <c r="G661" i="1"/>
  <c r="D127" i="2"/>
  <c r="D128" i="2" s="1"/>
  <c r="H661" i="1"/>
  <c r="F661" i="1"/>
  <c r="I661" i="1" s="1"/>
  <c r="L362" i="1"/>
  <c r="G635" i="1" s="1"/>
  <c r="J635" i="1" s="1"/>
  <c r="D145" i="2"/>
  <c r="C25" i="10"/>
  <c r="H25" i="13"/>
  <c r="C32" i="10"/>
  <c r="E8" i="13"/>
  <c r="C8" i="13" s="1"/>
  <c r="C120" i="2"/>
  <c r="C17" i="10"/>
  <c r="G649" i="1"/>
  <c r="J649" i="1" s="1"/>
  <c r="H647" i="1"/>
  <c r="C124" i="2"/>
  <c r="C18" i="10"/>
  <c r="C12" i="10"/>
  <c r="H257" i="1"/>
  <c r="H271" i="1" s="1"/>
  <c r="L247" i="1"/>
  <c r="A40" i="12"/>
  <c r="J647" i="1"/>
  <c r="K257" i="1"/>
  <c r="K271" i="1" s="1"/>
  <c r="C121" i="2"/>
  <c r="D12" i="13"/>
  <c r="C12" i="13" s="1"/>
  <c r="D7" i="13"/>
  <c r="C7" i="13" s="1"/>
  <c r="C16" i="10"/>
  <c r="F257" i="1"/>
  <c r="F271" i="1" s="1"/>
  <c r="G257" i="1"/>
  <c r="G271" i="1" s="1"/>
  <c r="L229" i="1"/>
  <c r="C13" i="10"/>
  <c r="J257" i="1"/>
  <c r="J271" i="1" s="1"/>
  <c r="C110" i="2"/>
  <c r="D14" i="13"/>
  <c r="C14" i="13" s="1"/>
  <c r="C118" i="2"/>
  <c r="C11" i="10"/>
  <c r="I257" i="1"/>
  <c r="I271" i="1" s="1"/>
  <c r="D5" i="13"/>
  <c r="C5" i="13" s="1"/>
  <c r="L393" i="1"/>
  <c r="C138" i="2" s="1"/>
  <c r="D50" i="2"/>
  <c r="H112" i="1"/>
  <c r="H193" i="1" s="1"/>
  <c r="G629" i="1" s="1"/>
  <c r="J629" i="1" s="1"/>
  <c r="H140" i="1"/>
  <c r="D91" i="2"/>
  <c r="C91" i="2"/>
  <c r="F112" i="1"/>
  <c r="C35" i="10"/>
  <c r="E31" i="2"/>
  <c r="H52" i="1"/>
  <c r="H619" i="1" s="1"/>
  <c r="D31" i="2"/>
  <c r="D18" i="2"/>
  <c r="C18" i="2"/>
  <c r="J617" i="1"/>
  <c r="J639" i="1"/>
  <c r="C16" i="13"/>
  <c r="K550" i="1"/>
  <c r="K552" i="1" s="1"/>
  <c r="D29" i="13"/>
  <c r="C29" i="13" s="1"/>
  <c r="G624" i="1"/>
  <c r="L534" i="1"/>
  <c r="K500" i="1"/>
  <c r="I460" i="1"/>
  <c r="I452" i="1"/>
  <c r="I461" i="1" s="1"/>
  <c r="H642" i="1" s="1"/>
  <c r="I446" i="1"/>
  <c r="G642" i="1" s="1"/>
  <c r="C123" i="2"/>
  <c r="C119" i="2"/>
  <c r="C112" i="2"/>
  <c r="F85" i="2"/>
  <c r="L211" i="1"/>
  <c r="C20" i="10"/>
  <c r="G81" i="2"/>
  <c r="C62" i="2"/>
  <c r="C63" i="2" s="1"/>
  <c r="D56" i="2"/>
  <c r="D63" i="2" s="1"/>
  <c r="G662" i="1"/>
  <c r="I662" i="1" s="1"/>
  <c r="C19" i="10"/>
  <c r="C15" i="10"/>
  <c r="G112" i="1"/>
  <c r="K503" i="1"/>
  <c r="L382" i="1"/>
  <c r="G636" i="1" s="1"/>
  <c r="J636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C39" i="10" s="1"/>
  <c r="G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660" i="1" l="1"/>
  <c r="J624" i="1"/>
  <c r="C141" i="2"/>
  <c r="C144" i="2" s="1"/>
  <c r="E128" i="2"/>
  <c r="L338" i="1"/>
  <c r="L352" i="1" s="1"/>
  <c r="G633" i="1" s="1"/>
  <c r="J633" i="1" s="1"/>
  <c r="H660" i="1"/>
  <c r="H664" i="1" s="1"/>
  <c r="H667" i="1" s="1"/>
  <c r="D31" i="13"/>
  <c r="C31" i="13" s="1"/>
  <c r="E145" i="2"/>
  <c r="C27" i="10"/>
  <c r="C28" i="10" s="1"/>
  <c r="D24" i="10" s="1"/>
  <c r="C25" i="13"/>
  <c r="H33" i="13"/>
  <c r="E33" i="13"/>
  <c r="D35" i="13" s="1"/>
  <c r="G664" i="1"/>
  <c r="G667" i="1" s="1"/>
  <c r="L257" i="1"/>
  <c r="L271" i="1" s="1"/>
  <c r="G632" i="1" s="1"/>
  <c r="J632" i="1" s="1"/>
  <c r="H648" i="1"/>
  <c r="J648" i="1" s="1"/>
  <c r="C115" i="2"/>
  <c r="C128" i="2"/>
  <c r="F660" i="1"/>
  <c r="J642" i="1"/>
  <c r="D51" i="2"/>
  <c r="C36" i="10"/>
  <c r="D104" i="2"/>
  <c r="L408" i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H672" i="1" l="1"/>
  <c r="C6" i="10" s="1"/>
  <c r="D33" i="13"/>
  <c r="D36" i="13" s="1"/>
  <c r="G672" i="1"/>
  <c r="C5" i="10" s="1"/>
  <c r="C145" i="2"/>
  <c r="D11" i="10"/>
  <c r="D13" i="10"/>
  <c r="D10" i="10"/>
  <c r="D20" i="10"/>
  <c r="D21" i="10"/>
  <c r="D23" i="10"/>
  <c r="D15" i="10"/>
  <c r="D19" i="10"/>
  <c r="C30" i="10"/>
  <c r="D26" i="10"/>
  <c r="D25" i="10"/>
  <c r="D22" i="10"/>
  <c r="D16" i="10"/>
  <c r="D27" i="10"/>
  <c r="D18" i="10"/>
  <c r="D17" i="10"/>
  <c r="D12" i="10"/>
  <c r="F664" i="1"/>
  <c r="I660" i="1"/>
  <c r="I664" i="1" s="1"/>
  <c r="I672" i="1" s="1"/>
  <c r="C7" i="10" s="1"/>
  <c r="G637" i="1"/>
  <c r="J637" i="1" s="1"/>
  <c r="H646" i="1"/>
  <c r="J646" i="1" s="1"/>
  <c r="D28" i="10" l="1"/>
  <c r="I667" i="1"/>
  <c r="F667" i="1"/>
  <c r="F672" i="1"/>
  <c r="C4" i="10" s="1"/>
  <c r="C76" i="2"/>
  <c r="C78" i="2" s="1"/>
  <c r="C81" i="2" s="1"/>
  <c r="C104" i="2" s="1"/>
  <c r="F136" i="1"/>
  <c r="F140" i="1" s="1"/>
  <c r="C38" i="10" l="1"/>
  <c r="F193" i="1"/>
  <c r="G627" i="1" s="1"/>
  <c r="H656" i="1" l="1"/>
  <c r="J627" i="1"/>
  <c r="C41" i="10"/>
  <c r="D37" i="10" l="1"/>
  <c r="D35" i="10"/>
  <c r="D39" i="10"/>
  <c r="D36" i="10"/>
  <c r="D40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<sst xmlns="http://schemas.openxmlformats.org/spreadsheetml/2006/main" count="3957" uniqueCount="915">
  <si>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</si>
  <si>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</si>
  <si>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</si>
  <si>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</si>
  <si>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</si>
  <si>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</si>
  <si>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</si>
  <si>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</si>
  <si>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</si>
  <si>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</si>
  <si>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</si>
  <si>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</si>
  <si>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</si>
  <si>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</si>
  <si>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</si>
  <si>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</si>
  <si>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</si>
  <si>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</si>
  <si>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</si>
  <si>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</si>
  <si>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</si>
  <si>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</si>
  <si>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</si>
  <si>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</si>
  <si>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</si>
  <si>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</si>
  <si>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</si>
  <si>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</si>
  <si>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</si>
  <si>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</si>
  <si>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</si>
  <si>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</si>
  <si>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</si>
  <si>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</si>
  <si>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</si>
  <si>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</si>
  <si>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</si>
  <si>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</si>
  <si>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</si>
  <si>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</si>
  <si>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</si>
  <si>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</si>
  <si>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</si>
  <si>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</si>
  <si>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</si>
  <si>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</si>
  <si>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</si>
  <si>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</si>
  <si>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</si>
  <si>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</si>
  <si>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</si>
  <si>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</si>
  <si>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</si>
  <si>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</si>
  <si>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</si>
  <si>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</si>
  <si>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</si>
  <si>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</si>
  <si>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</si>
  <si>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</si>
  <si>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</si>
  <si>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</si>
  <si>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</si>
  <si>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</si>
  <si>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</si>
  <si>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</si>
  <si>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</si>
  <si>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</si>
  <si>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</si>
  <si>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</si>
  <si>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</si>
  <si>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</si>
  <si>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</si>
  <si>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</si>
  <si>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</si>
  <si>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</si>
  <si>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</si>
  <si>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</si>
  <si>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</si>
  <si>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</si>
  <si>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</si>
  <si>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</si>
  <si>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</si>
  <si>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</si>
  <si>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</si>
  <si>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</si>
  <si>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</si>
  <si>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</si>
  <si>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</si>
  <si>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</si>
  <si>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</si>
  <si>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</si>
  <si>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</si>
  <si>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</si>
  <si>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</si>
  <si>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</si>
  <si>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</si>
  <si>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</si>
  <si>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</si>
  <si>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</si>
  <si>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</si>
  <si>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</si>
  <si>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</si>
  <si>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</si>
  <si>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</si>
  <si>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</si>
  <si>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</si>
  <si>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</si>
  <si>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</si>
  <si>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</si>
  <si>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</si>
  <si>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</si>
  <si>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</si>
  <si>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</si>
  <si>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</si>
  <si>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</si>
  <si>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</si>
  <si>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</si>
  <si>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</si>
  <si>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</si>
  <si>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</si>
  <si>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</si>
  <si>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</si>
  <si>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</si>
  <si>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</si>
  <si>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</si>
  <si>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</si>
  <si>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</si>
  <si>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</si>
  <si>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</si>
  <si>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</si>
  <si>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</si>
  <si>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</si>
  <si>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</si>
  <si>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</si>
  <si>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</si>
  <si>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</si>
  <si>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</si>
  <si>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</si>
  <si>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</si>
  <si>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</si>
  <si>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</si>
  <si>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</si>
  <si>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</si>
  <si>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</si>
  <si>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</si>
  <si>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</si>
  <si>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</si>
  <si>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</si>
  <si>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</si>
  <si>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</si>
  <si>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</si>
  <si>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</si>
  <si>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</si>
  <si>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</si>
  <si>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</si>
  <si>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</si>
  <si>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</si>
  <si>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</si>
  <si>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</si>
  <si>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</si>
  <si>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</si>
  <si>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</si>
  <si>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</si>
  <si>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</si>
  <si>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</si>
  <si>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</si>
  <si>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</si>
  <si>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</si>
  <si>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</si>
  <si>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</si>
  <si>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</si>
  <si>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</si>
  <si>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</si>
  <si>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</si>
  <si>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</si>
  <si>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</si>
  <si>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</si>
  <si>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</si>
  <si>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</si>
  <si>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</si>
  <si>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</si>
  <si>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</si>
  <si>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</si>
  <si>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</si>
  <si>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</si>
  <si>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</si>
  <si>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</si>
  <si>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</si>
  <si>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</si>
  <si>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</si>
  <si>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</si>
  <si>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</si>
  <si>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</si>
  <si>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</si>
  <si>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</si>
  <si>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</si>
  <si>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</si>
  <si>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</si>
  <si>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</si>
  <si>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</si>
  <si>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</si>
  <si>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</si>
  <si>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</si>
  <si>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</si>
  <si>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</si>
  <si>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</si>
  <si>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</si>
  <si>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</si>
  <si>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</si>
  <si>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</si>
  <si>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</si>
  <si>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</si>
  <si>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</si>
  <si>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</si>
  <si>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</si>
  <si>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</si>
  <si>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</si>
  <si>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</si>
  <si>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</si>
  <si>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</si>
  <si>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</si>
  <si>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</si>
  <si>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</si>
  <si>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</si>
  <si>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</si>
  <si>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</si>
  <si>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</si>
  <si>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</si>
  <si>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</si>
  <si>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</si>
  <si>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</si>
  <si>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</si>
  <si>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</si>
  <si>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</si>
  <si>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</si>
  <si>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</si>
  <si>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</si>
  <si>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</si>
  <si>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</si>
  <si>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</si>
  <si>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</si>
  <si>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</si>
  <si>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</si>
  <si>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</si>
  <si>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</si>
  <si>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</si>
  <si>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</si>
  <si>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</si>
  <si>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</si>
  <si>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</si>
  <si>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</si>
  <si>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</si>
  <si>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</si>
  <si>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</si>
  <si>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</si>
  <si>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</si>
  <si>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</si>
  <si>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</si>
  <si>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</si>
  <si>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</si>
  <si>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</si>
  <si>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</si>
  <si>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</si>
  <si>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</si>
  <si>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</si>
  <si>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</si>
  <si>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</si>
  <si>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</si>
  <si>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</si>
  <si>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</si>
  <si>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</si>
  <si>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</si>
  <si>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</si>
  <si>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</si>
  <si>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</si>
  <si>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</si>
  <si>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</si>
  <si>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</si>
  <si>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</si>
  <si>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</si>
  <si>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</si>
  <si>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</si>
  <si>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</si>
  <si>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</si>
  <si>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</si>
  <si>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</si>
  <si>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</si>
  <si>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</si>
  <si>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</si>
  <si>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</si>
  <si>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</si>
  <si>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</si>
  <si>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</si>
  <si>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</si>
  <si>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</si>
  <si>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</si>
  <si>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</si>
  <si>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</si>
  <si>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</si>
  <si>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</si>
  <si>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</si>
  <si>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</si>
  <si>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</si>
  <si>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</si>
  <si>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</si>
  <si>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</si>
  <si>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</si>
  <si>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</si>
  <si>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</si>
  <si>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</si>
  <si>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</si>
  <si>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</si>
  <si>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</si>
  <si>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</si>
  <si>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</si>
  <si>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</si>
  <si>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</si>
  <si>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</si>
  <si>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</si>
  <si>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</si>
  <si>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</si>
  <si>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</si>
  <si>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</si>
  <si>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</si>
  <si>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</si>
  <si>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</si>
  <si>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</si>
  <si>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</si>
  <si>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</si>
  <si>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</si>
  <si>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</si>
  <si>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</si>
  <si>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</si>
  <si>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</si>
  <si>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</si>
  <si>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</si>
  <si>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</si>
  <si>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</si>
  <si>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</si>
  <si>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</si>
  <si>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</si>
  <si>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</si>
  <si>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</si>
  <si>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</si>
  <si>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</si>
  <si>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</si>
  <si>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</si>
  <si>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</si>
  <si>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</si>
  <si>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</si>
  <si>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</si>
  <si>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</si>
  <si>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</si>
  <si>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</si>
  <si>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</si>
  <si>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</si>
  <si>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</si>
  <si>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</si>
  <si>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</si>
  <si>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</si>
  <si>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</si>
  <si>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</si>
  <si>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</si>
  <si>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</si>
  <si>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</si>
  <si>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</si>
  <si>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</si>
  <si>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</si>
  <si>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</si>
  <si>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</si>
  <si>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</si>
  <si>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</si>
  <si>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</si>
  <si>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</si>
  <si>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</si>
  <si>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</si>
  <si>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</si>
  <si>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</si>
  <si>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</si>
  <si>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</si>
  <si>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</si>
  <si>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</si>
  <si>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</si>
  <si>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</si>
  <si>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</si>
  <si>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</si>
  <si>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</si>
  <si>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</si>
  <si>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</si>
  <si>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</si>
  <si>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</si>
  <si>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</si>
  <si>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</si>
  <si>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</si>
  <si>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</si>
  <si>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</si>
  <si>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</si>
  <si>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</si>
  <si>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</si>
  <si>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</si>
  <si>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</si>
  <si>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</si>
  <si>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</si>
  <si>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</si>
  <si>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</si>
  <si>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</si>
  <si>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</si>
  <si>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</si>
  <si>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</si>
  <si>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</si>
  <si>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</si>
  <si>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</si>
  <si>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</si>
  <si>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</si>
  <si>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</si>
  <si>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</si>
  <si>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</si>
  <si>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</si>
  <si>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</si>
  <si>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</si>
  <si>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</si>
  <si>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</si>
  <si>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</si>
  <si>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</si>
  <si>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</si>
  <si>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</si>
  <si>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</si>
  <si>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</si>
  <si>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</si>
  <si>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</si>
  <si>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</si>
  <si>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</si>
  <si>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</si>
  <si>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</si>
  <si>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</si>
  <si>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</si>
  <si>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</si>
  <si>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</si>
  <si>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</si>
  <si>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</si>
  <si>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</si>
  <si>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</si>
  <si>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</si>
  <si>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</si>
  <si>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</si>
  <si>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</si>
  <si>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</si>
  <si>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</si>
  <si>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</si>
  <si>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</si>
  <si>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</si>
  <si>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</si>
  <si>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</si>
  <si>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</si>
  <si>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</si>
  <si>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</si>
  <si>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</si>
  <si>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</si>
  <si>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</si>
  <si>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</si>
  <si>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</si>
  <si>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</si>
  <si>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</si>
  <si>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</si>
  <si>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</si>
  <si>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</si>
  <si>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</si>
  <si>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</si>
  <si>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</si>
  <si>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</si>
  <si>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</si>
  <si>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</si>
  <si>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</si>
  <si>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</si>
  <si>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</si>
  <si>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</si>
  <si>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</si>
  <si>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</si>
  <si>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</si>
  <si>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</si>
  <si>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</si>
  <si>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</si>
  <si>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</si>
  <si>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</si>
  <si>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</si>
  <si>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</si>
  <si>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</si>
  <si>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</si>
  <si>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</si>
  <si>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</si>
  <si>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</si>
  <si>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</si>
  <si>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</si>
  <si>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</si>
  <si>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</si>
  <si>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</si>
  <si>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</si>
  <si>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</si>
  <si>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</si>
  <si>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</si>
  <si>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</si>
  <si>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</si>
  <si>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</si>
  <si>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</si>
  <si>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</si>
  <si>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</si>
  <si>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</si>
  <si>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</si>
  <si>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</si>
  <si>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</si>
  <si>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</si>
  <si>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</si>
  <si>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</si>
  <si>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</si>
  <si>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</si>
  <si>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</si>
  <si>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</si>
  <si>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</si>
  <si>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</si>
  <si>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</si>
  <si>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</si>
  <si>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</si>
  <si>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</si>
  <si>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</si>
  <si>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</si>
  <si>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</si>
  <si>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</si>
  <si>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</si>
  <si>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</si>
  <si>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</si>
  <si>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</si>
  <si>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</si>
  <si>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</si>
  <si>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</si>
  <si>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</si>
  <si>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</si>
  <si>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</si>
  <si>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</si>
  <si>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</si>
  <si>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</si>
  <si>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</si>
  <si>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</si>
  <si>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</si>
  <si>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</si>
  <si>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</si>
  <si>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</si>
  <si>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</si>
  <si>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</si>
  <si>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</si>
  <si>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</si>
  <si>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</si>
  <si>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</si>
  <si>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</si>
  <si>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</si>
  <si>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</si>
  <si>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</si>
  <si>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</si>
  <si>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</si>
  <si>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</si>
  <si>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</si>
  <si>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</si>
  <si>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</si>
  <si>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</si>
  <si>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</si>
  <si>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</si>
  <si>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</si>
  <si>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</si>
  <si>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</si>
  <si>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</si>
  <si>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</si>
  <si>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</si>
  <si>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</si>
  <si>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</si>
  <si>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</si>
  <si>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</si>
  <si>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</si>
  <si>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</si>
  <si>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</si>
  <si>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</si>
  <si>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</si>
  <si>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</si>
  <si>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</si>
  <si>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</si>
  <si>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</si>
  <si>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</si>
  <si>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</si>
  <si>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</si>
  <si>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</si>
  <si>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</si>
  <si>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</si>
  <si>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</si>
  <si>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</si>
  <si>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</si>
  <si>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</si>
  <si>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</si>
  <si>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</si>
  <si>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</si>
  <si>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</si>
  <si>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</si>
  <si>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</si>
  <si>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</si>
  <si>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</si>
  <si>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</si>
  <si>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</si>
  <si>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</si>
  <si>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</si>
  <si>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</si>
  <si>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</si>
  <si>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</si>
  <si>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</si>
  <si>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</si>
  <si>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</si>
  <si>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</si>
  <si>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</si>
  <si>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</si>
  <si>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</si>
  <si>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</si>
  <si>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</si>
  <si>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</si>
  <si>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</si>
  <si>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</si>
  <si>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</si>
  <si>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</si>
  <si>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</si>
  <si>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</si>
  <si>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</si>
  <si>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</si>
  <si>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</si>
  <si>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</si>
  <si>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</si>
  <si>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</si>
  <si>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</si>
  <si>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</si>
  <si>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</si>
  <si>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</si>
  <si>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</si>
  <si>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</si>
  <si>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</si>
  <si>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</si>
  <si>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</si>
  <si>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</si>
  <si>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</si>
  <si>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</si>
  <si>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</si>
  <si>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</si>
  <si>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</si>
  <si>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</si>
  <si>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</si>
  <si>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</si>
  <si>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</si>
  <si>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</si>
  <si>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</si>
  <si>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</si>
  <si>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</si>
  <si>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</si>
  <si>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</si>
  <si>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</si>
  <si>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</si>
  <si>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</si>
  <si>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</si>
  <si>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</si>
  <si>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</si>
  <si>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</si>
  <si>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</si>
  <si>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</si>
  <si>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</si>
  <si>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</si>
  <si>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</si>
  <si>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</si>
  <si>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</si>
  <si>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</si>
  <si>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</si>
  <si>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</si>
  <si>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</si>
  <si>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</si>
  <si>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</si>
  <si>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</si>
  <si>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</si>
  <si>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</si>
  <si>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</si>
  <si>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</si>
  <si>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</si>
  <si>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</si>
  <si>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</si>
  <si>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</si>
  <si>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</si>
  <si>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</si>
  <si>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</si>
  <si>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</si>
  <si>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</si>
  <si>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</si>
  <si>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</si>
  <si>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</si>
  <si>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</si>
  <si>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</si>
  <si>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</si>
  <si>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</si>
  <si>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</si>
  <si>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</si>
  <si>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</si>
  <si>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</si>
  <si>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</si>
  <si>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</si>
  <si>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</si>
  <si>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</si>
  <si>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</si>
  <si>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</si>
  <si>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</si>
  <si>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</si>
  <si>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</si>
  <si>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</si>
  <si>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</si>
  <si>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</si>
  <si>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</si>
  <si>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</si>
  <si>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</si>
  <si>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</si>
  <si>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</si>
  <si>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</si>
  <si>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</si>
  <si>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</si>
  <si>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</si>
  <si>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</si>
  <si>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</si>
  <si>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</si>
  <si>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</si>
  <si>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</si>
  <si>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</si>
  <si>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</si>
  <si>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</si>
  <si>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</si>
  <si>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</si>
  <si>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</si>
  <si>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</si>
  <si>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</si>
  <si>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</si>
  <si>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</si>
  <si>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</si>
  <si>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</si>
  <si>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</si>
  <si>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</si>
  <si>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</si>
  <si>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</si>
  <si>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</si>
  <si>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</si>
  <si>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</si>
  <si>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</si>
  <si>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</si>
  <si>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</si>
  <si>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</si>
  <si>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</si>
  <si>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</si>
  <si>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</si>
  <si>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</si>
  <si>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</si>
  <si>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</si>
  <si>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</si>
  <si>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</si>
  <si>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</si>
  <si>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</si>
  <si>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</si>
  <si>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</si>
  <si>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</si>
  <si>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</si>
  <si>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</si>
  <si>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</si>
  <si>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</si>
  <si>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</si>
  <si>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</si>
  <si>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</si>
  <si>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</si>
  <si>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</si>
  <si>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</si>
  <si>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</si>
  <si>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</si>
  <si>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</si>
  <si>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</si>
  <si>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</si>
  <si>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</si>
  <si>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</si>
  <si>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</si>
  <si>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</si>
  <si>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</si>
  <si>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</si>
  <si>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</si>
  <si>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</si>
  <si>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</si>
  <si>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</si>
  <si>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</si>
  <si>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</si>
  <si>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</si>
  <si>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</si>
  <si>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</si>
  <si>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</si>
  <si>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</si>
  <si>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</si>
  <si>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</si>
  <si>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</si>
  <si>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</si>
  <si>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</si>
  <si>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</si>
  <si>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</si>
  <si>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</si>
  <si>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</si>
  <si>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</si>
  <si>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</si>
  <si>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</si>
  <si>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</si>
  <si>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</si>
  <si>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</si>
  <si>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</si>
  <si>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</si>
  <si>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</si>
  <si>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</si>
  <si>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</si>
  <si>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</si>
  <si>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</si>
  <si>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</si>
  <si>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</si>
  <si>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</si>
  <si>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</si>
  <si>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</si>
  <si>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</si>
  <si>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</si>
  <si>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</si>
  <si>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</si>
  <si>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</si>
  <si>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</si>
  <si>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</si>
  <si>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</si>
  <si>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</si>
  <si>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</si>
  <si>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</si>
  <si>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</si>
  <si>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</si>
  <si>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</si>
  <si>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</si>
  <si>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</si>
  <si>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</si>
  <si>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</si>
  <si>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</si>
  <si>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</si>
  <si>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</si>
  <si>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</si>
  <si>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</si>
  <si>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</si>
  <si>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</si>
  <si>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</si>
  <si>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</si>
  <si>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</si>
  <si>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</si>
  <si>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</si>
  <si>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</si>
  <si>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</si>
  <si>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</si>
  <si>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</si>
  <si>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</si>
  <si>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</si>
  <si>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</si>
  <si>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</si>
  <si>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</si>
  <si>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</si>
  <si>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</si>
  <si>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</si>
  <si>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</si>
  <si>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</si>
  <si>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</si>
  <si>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</si>
  <si>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</si>
  <si>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</si>
  <si>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</si>
  <si>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</si>
  <si>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</si>
  <si>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</si>
  <si>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</si>
  <si>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</si>
  <si>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</si>
  <si>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</si>
  <si>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</si>
  <si>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</si>
  <si>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</si>
  <si>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</si>
  <si>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</si>
  <si>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</si>
  <si>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</si>
  <si>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</si>
  <si>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</si>
  <si>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</si>
  <si>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</si>
  <si>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</si>
  <si>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</si>
  <si>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</si>
  <si>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</si>
  <si>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</si>
  <si>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</si>
  <si>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</si>
  <si>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</si>
  <si>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</si>
  <si>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</si>
  <si>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</si>
  <si>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</si>
  <si>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</si>
  <si>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</si>
  <si>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</si>
  <si>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</si>
  <si>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</si>
  <si>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</si>
  <si>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</si>
  <si>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</si>
  <si>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</si>
  <si>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</si>
  <si>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08/15</t>
  </si>
  <si>
    <t>08/25</t>
  </si>
  <si>
    <t>Epping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</si>
</sst>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1" activePane="bottomRight" state="frozen"/>
      <selection pane="topRight" activeCell="F1" sqref="F1"/>
      <selection pane="bottomLeft" activeCell="A4" sqref="A4"/>
      <selection pane="bottomRight" activeCell="I670" sqref="I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165</v>
      </c>
      <c r="C2" s="21">
        <v>165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791487.84+200</f>
        <v>791687.84</v>
      </c>
      <c r="G9" s="18">
        <v>623811.47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146196.56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485975.37+200074.61</f>
        <v>686049.98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16730.310000000001</v>
      </c>
      <c r="G13" s="18">
        <v>14305.03</v>
      </c>
      <c r="H13" s="18">
        <v>127624.08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3112.04</v>
      </c>
      <c r="G14" s="18">
        <v>3489.36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14136.29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52654.9</v>
      </c>
      <c r="G17" s="18">
        <v>1784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>
        <v>-7479.25</v>
      </c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1550235.0699999998</v>
      </c>
      <c r="G19" s="41">
        <f>SUM(G9:G18)</f>
        <v>650046.9</v>
      </c>
      <c r="H19" s="41">
        <f>SUM(H9:H18)</f>
        <v>127624.08</v>
      </c>
      <c r="I19" s="41">
        <f>SUM(I9:I18)</f>
        <v>0</v>
      </c>
      <c r="J19" s="41">
        <f>SUM(J9:J18)</f>
        <v>146196.56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8461.11</f>
        <v>8461.11</v>
      </c>
      <c r="G22" s="18">
        <f>485975.37+85017.26</f>
        <v>570992.63</v>
      </c>
      <c r="H22" s="18">
        <f>200074.61-85017.26-8461.11</f>
        <v>106596.23999999999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1323.3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407795.6-77</f>
        <v>407718.6</v>
      </c>
      <c r="G24" s="18">
        <v>20329.14</v>
      </c>
      <c r="H24" s="18">
        <v>157.55000000000001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145174.7-114.21+320109.94+15484.81-37.94-3312.79-59.76</f>
        <v>477244.75000000006</v>
      </c>
      <c r="G28" s="18">
        <v>3.99</v>
      </c>
      <c r="H28" s="18">
        <v>4274.29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894747.76</v>
      </c>
      <c r="G32" s="41">
        <f>SUM(G22:G31)</f>
        <v>591325.76</v>
      </c>
      <c r="H32" s="41">
        <f>SUM(H22:H31)</f>
        <v>111028.07999999999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58721.14</f>
        <v>58721.14</v>
      </c>
      <c r="H48" s="18">
        <f>8134.89+838.64+7622.47</f>
        <v>16596</v>
      </c>
      <c r="I48" s="18"/>
      <c r="J48" s="13">
        <f>SUM(I459)</f>
        <v>146196.56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455487.31-150000</f>
        <v>305487.31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655487.31000000006</v>
      </c>
      <c r="G51" s="41">
        <f>SUM(G35:G50)</f>
        <v>58721.14</v>
      </c>
      <c r="H51" s="41">
        <f>SUM(H35:H50)</f>
        <v>16596</v>
      </c>
      <c r="I51" s="41">
        <f>SUM(I35:I50)</f>
        <v>0</v>
      </c>
      <c r="J51" s="41">
        <f>SUM(J35:J50)</f>
        <v>146196.56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1550235.07</v>
      </c>
      <c r="G52" s="41">
        <f>G51+G32</f>
        <v>650046.9</v>
      </c>
      <c r="H52" s="41">
        <f>H51+H32</f>
        <v>127624.07999999999</v>
      </c>
      <c r="I52" s="41">
        <f>I51+I32</f>
        <v>0</v>
      </c>
      <c r="J52" s="41">
        <f>J51+J32</f>
        <v>146196.56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12337410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12337410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19660+87900</f>
        <v>107560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890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17722.97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11476.45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137649.42000000001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354.39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77575.25+82676.29+4029.75+5700.48+8925.69+59014.16</f>
        <v>237921.62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2250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34705.64+90000+11895.37</f>
        <v>136601.01</v>
      </c>
      <c r="G110" s="18"/>
      <c r="H110" s="18">
        <v>7000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138851.01</v>
      </c>
      <c r="G111" s="41">
        <f>SUM(G96:G110)</f>
        <v>237921.62</v>
      </c>
      <c r="H111" s="41">
        <f>SUM(H96:H110)</f>
        <v>7000</v>
      </c>
      <c r="I111" s="41">
        <f>SUM(I96:I110)</f>
        <v>0</v>
      </c>
      <c r="J111" s="41">
        <f>SUM(J96:J110)</f>
        <v>354.39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12613910.43</v>
      </c>
      <c r="G112" s="41">
        <f>G60+G111</f>
        <v>237921.62</v>
      </c>
      <c r="H112" s="41">
        <f>H60+H79+H94+H111</f>
        <v>7000</v>
      </c>
      <c r="I112" s="41">
        <f>I60+I111</f>
        <v>0</v>
      </c>
      <c r="J112" s="41">
        <f>J60+J111</f>
        <v>354.39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3268502.51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1598161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9253.6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4875917.1099999994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255874.6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251229.32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11558.4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4599.96+570.93</f>
        <v>5170.8900000000003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18861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518662.32000000007</v>
      </c>
      <c r="G136" s="41">
        <f>SUM(G123:G135)</f>
        <v>5170.8900000000003</v>
      </c>
      <c r="H136" s="41">
        <f>SUM(H123:H135)</f>
        <v>18861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5394579.4299999997</v>
      </c>
      <c r="G140" s="41">
        <f>G121+SUM(G136:G137)</f>
        <v>5170.8900000000003</v>
      </c>
      <c r="H140" s="41">
        <f>H121+SUM(H136:H139)</f>
        <v>18861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153692.46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6500+46856</f>
        <v>53356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108470.5+26636.52</f>
        <v>135107.01999999999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5741.93+41+7704.94+226051.06</f>
        <v>239538.93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165581.70000000001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500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165581.70000000001</v>
      </c>
      <c r="G162" s="41">
        <f>SUM(G150:G161)</f>
        <v>135607.01999999999</v>
      </c>
      <c r="H162" s="41">
        <f>SUM(H150:H161)</f>
        <v>446587.39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165581.70000000001</v>
      </c>
      <c r="G169" s="41">
        <f>G147+G162+SUM(G163:G168)</f>
        <v>135607.01999999999</v>
      </c>
      <c r="H169" s="41">
        <f>H147+H162+SUM(H163:H168)</f>
        <v>446587.39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18174071.559999999</v>
      </c>
      <c r="G193" s="47">
        <f>G112+G140+G169+G192</f>
        <v>378699.53</v>
      </c>
      <c r="H193" s="47">
        <f>H112+H140+H169+H192</f>
        <v>472448.39</v>
      </c>
      <c r="I193" s="47">
        <f>I112+I140+I169+I192</f>
        <v>0</v>
      </c>
      <c r="J193" s="47">
        <f>J112+J140+J192</f>
        <v>354.39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1376209.14+60739.02+213868+93457.38+1182.86</f>
        <v>1745456.4000000001</v>
      </c>
      <c r="G197" s="18">
        <f>395475.94+15857.25+116589.33+230455.85+70406.34+2077.92+22918.48+35009.71+6170.04+2549.43+5848.71+14739+78+26627.27-77.25</f>
        <v>944726.02</v>
      </c>
      <c r="H197" s="18">
        <v>600</v>
      </c>
      <c r="I197" s="18">
        <f>3050.34+5351.88+5393.2+5838.23+6115.94+6073.95+690.54+2386.01+2704.31+2583.5+4303.78+1986.6+2362.13+67977.98+2157.55+456.23+3289.89+991.22+1724.8+2472.3+2204.63+2714.54+2147.31+7965.13+6184.14+2288.88</f>
        <v>151415.01</v>
      </c>
      <c r="J197" s="18">
        <f>317.3+408.71+2559.01</f>
        <v>3285.0200000000004</v>
      </c>
      <c r="K197" s="18">
        <v>0</v>
      </c>
      <c r="L197" s="19">
        <f>SUM(F197:K197)</f>
        <v>2845482.4499999997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365707+309537.31+92209.78+94511.57+36137.85+9626.89+22417+5096.36+10000+8000</f>
        <v>953243.76000000013</v>
      </c>
      <c r="G198" s="18">
        <f>177883.7+3908.25+50162.08+50782.45+77340.01+1923.56+13326.71+16195.3+3496.99+150.38+1206.05+12273.11+279.06+1913.82+1102.76+3524.46</f>
        <v>415468.69000000006</v>
      </c>
      <c r="H198" s="18">
        <f>38189.72</f>
        <v>38189.72</v>
      </c>
      <c r="I198" s="18">
        <f>4980.61+82.5+1072.26+1251.47+1848+231.12+966.17+251.24+10</f>
        <v>10693.37</v>
      </c>
      <c r="J198" s="18">
        <f>331.82+967.81+2513.21</f>
        <v>3812.84</v>
      </c>
      <c r="K198" s="18">
        <v>0</v>
      </c>
      <c r="L198" s="19">
        <f>SUM(F198:K198)</f>
        <v>1421408.3800000004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15287.5+20520</f>
        <v>35807.5</v>
      </c>
      <c r="G200" s="18">
        <f>1426.67+108.31</f>
        <v>1534.98</v>
      </c>
      <c r="H200" s="18">
        <v>5000</v>
      </c>
      <c r="I200" s="18">
        <v>3454.48</v>
      </c>
      <c r="J200" s="18">
        <v>0</v>
      </c>
      <c r="K200" s="18">
        <v>0</v>
      </c>
      <c r="L200" s="19">
        <f>SUM(F200:K200)</f>
        <v>45796.960000000006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96663+47439+22520.93+43367.52+83914.74+3193.98+59942.18+1230.7</f>
        <v>358272.05</v>
      </c>
      <c r="G202" s="18">
        <f>19145.15+558.12+7124.9+15448.12+32273.89+660.48+4877.37+7151.56+1362.49+9794.1+199.92+3119.23+4589.48+30204.07+1461.96+6128.57+9921.14+17878.46+554.77+4391.94+9694.89</f>
        <v>186540.61</v>
      </c>
      <c r="H202" s="18">
        <f>85+11093.54+223.65+863.94+99.4+4012.42+4873.84+20292.76</f>
        <v>41544.550000000003</v>
      </c>
      <c r="I202" s="18">
        <f>445.03+203.74+2528.41+2260.76+1400+300+614.8+62.49+136.68+1188.14</f>
        <v>9140.0500000000011</v>
      </c>
      <c r="J202" s="18">
        <f>272.61+1438.26</f>
        <v>1710.87</v>
      </c>
      <c r="K202" s="18"/>
      <c r="L202" s="19">
        <f t="shared" ref="L202:L208" si="0">SUM(F202:K202)</f>
        <v>597208.13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2819+4580+60684+22690.54+82619.2+10000+5525</f>
        <v>188917.74</v>
      </c>
      <c r="G203" s="18">
        <f>843.04+359.39+9274.26+558.12+4489.73+9544.24+277.39+1795.58+46.7+19267.94+14527.91+21506.47+1032.73+6044.5+9235.04+2541.07</f>
        <v>101344.11000000002</v>
      </c>
      <c r="H203" s="18">
        <f>5402.39+6701.97+3633.69+152.65+820.05+18176.13</f>
        <v>34886.880000000005</v>
      </c>
      <c r="I203" s="18">
        <f>2025.4+3225.58+877.32+1820+7389.79+1897.97+3112.07+19718.79</f>
        <v>40066.92</v>
      </c>
      <c r="J203" s="18">
        <f>362.96+7589.04+63980.67+14369+22387.08+2648.46+11887.23</f>
        <v>123224.44</v>
      </c>
      <c r="K203" s="18">
        <f>211.23</f>
        <v>211.23</v>
      </c>
      <c r="L203" s="19">
        <f t="shared" si="0"/>
        <v>488651.31999999995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5218.5+149.1+1739.5+149.1+745.5+46488.39+41738.47+101599.45+1789.2+775.63+48280.33+2215.03</f>
        <v>250888.20000000004</v>
      </c>
      <c r="G204" s="18">
        <f>610.58+13.87+19.46+31229.27+1616.6+11460.96+16876.57+52.56+5079.33+25166.9+1223.75+6629.34+4662.96+7323.71+315.6+170.98</f>
        <v>112452.44000000002</v>
      </c>
      <c r="H204" s="18">
        <f>1304.63+3834.85+1179.67+4671.8+1719.96+12425+3950.94+4622.1+1019.87+1135.93+14597.81+4329.66+298.2+6.95+1319.15</f>
        <v>56416.52</v>
      </c>
      <c r="I204" s="18">
        <f>4382.41+54.91+4768.12+580.43+970.77</f>
        <v>10756.64</v>
      </c>
      <c r="J204" s="18"/>
      <c r="K204" s="18">
        <f>2769.79+1107.56+65.85+959.14-940.91+551.17</f>
        <v>4512.6000000000004</v>
      </c>
      <c r="L204" s="19">
        <f t="shared" si="0"/>
        <v>435026.40000000008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128662.6+74860+17565+89819.46</f>
        <v>310907.06</v>
      </c>
      <c r="G205" s="18">
        <f>83799.79+2191.07+22854.4+10246.35+33647.49+780.92+831.04+6205</f>
        <v>160556.06000000003</v>
      </c>
      <c r="H205" s="18">
        <f>13946.8+13500+1788+773.22</f>
        <v>30008.02</v>
      </c>
      <c r="I205" s="18">
        <v>4371.42</v>
      </c>
      <c r="J205" s="18">
        <f>1510.9+987.22+1460.96</f>
        <v>3959.08</v>
      </c>
      <c r="K205" s="18">
        <v>1946</v>
      </c>
      <c r="L205" s="19">
        <f t="shared" si="0"/>
        <v>511747.64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124649.22+101505.99</f>
        <v>226155.21000000002</v>
      </c>
      <c r="G207" s="18">
        <f>57499.4+2194.08+8815.72+13893.08+27536.59+1287+7420.52+7639.67</f>
        <v>126286.06</v>
      </c>
      <c r="H207" s="18">
        <f>19880+10451.79+8557.88+9963.15+4876.58+2832.9+2026.77+111700.2+53171.79+3356.47+24760.79+53738.43+7249.74+228.62+28494+377.99</f>
        <v>341667.1</v>
      </c>
      <c r="I207" s="18">
        <f>26388.17+112151.73+68870.57+920.35</f>
        <v>208330.82</v>
      </c>
      <c r="J207" s="18">
        <f>17802.74</f>
        <v>17802.740000000002</v>
      </c>
      <c r="K207" s="18"/>
      <c r="L207" s="19">
        <f t="shared" si="0"/>
        <v>920241.92999999993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26685.3+138364.8+6307.46+57121.6</f>
        <v>228479.15999999997</v>
      </c>
      <c r="I208" s="18"/>
      <c r="J208" s="18"/>
      <c r="K208" s="18"/>
      <c r="L208" s="19">
        <f t="shared" si="0"/>
        <v>228479.15999999997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4069647.9200000004</v>
      </c>
      <c r="G211" s="41">
        <f t="shared" si="1"/>
        <v>2048908.97</v>
      </c>
      <c r="H211" s="41">
        <f t="shared" si="1"/>
        <v>776791.95</v>
      </c>
      <c r="I211" s="41">
        <f t="shared" si="1"/>
        <v>438228.71000000008</v>
      </c>
      <c r="J211" s="41">
        <f t="shared" si="1"/>
        <v>153794.99</v>
      </c>
      <c r="K211" s="41">
        <f t="shared" si="1"/>
        <v>6669.83</v>
      </c>
      <c r="L211" s="41">
        <f t="shared" si="1"/>
        <v>7494042.3700000001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909414.46+29902.84+10000+10000+8675+541.21</f>
        <v>968533.50999999989</v>
      </c>
      <c r="G215" s="18">
        <f>252162.33+9646.51+70464.83+133651.4+2823.07+2332.84+5071.93+6744.12+12183.18+59.98</f>
        <v>495140.18999999994</v>
      </c>
      <c r="H215" s="18">
        <f>351.25+245.75+1293.98+85+152.5</f>
        <v>2128.48</v>
      </c>
      <c r="I215" s="18">
        <f>8079.31+1288.31+276.01+1008+699.57+2012.37+390.52+1526+88.83+1084.54+132.44+2375.98+1120+9.89+335+363+296.84+16.5+209+2405+12.4+822.4</f>
        <v>24551.91</v>
      </c>
      <c r="J215" s="18">
        <f>2461.54+267.32+3400+242.13+282.05+1075+181.27</f>
        <v>7909.3100000000013</v>
      </c>
      <c r="K215" s="18"/>
      <c r="L215" s="19">
        <f>SUM(F215:K215)</f>
        <v>1498263.3999999997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146087.47+191564.03+16534.7+4404.74+6725.1+1528.91</f>
        <v>366844.94999999995</v>
      </c>
      <c r="G216" s="18">
        <f>88845.21+2682.55+24701.82+33037.21+1600.03+68.81+551.82+3681.93+83.72+574.14+330.83+1057.34</f>
        <v>157215.41</v>
      </c>
      <c r="H216" s="18">
        <f>17473.53+7555.49</f>
        <v>25029.019999999997</v>
      </c>
      <c r="I216" s="18">
        <f>2508.6+161.93+172.15+439.84+105.75+442.07+75.37+3</f>
        <v>3908.71</v>
      </c>
      <c r="J216" s="18">
        <f>4424.15</f>
        <v>4424.1499999999996</v>
      </c>
      <c r="K216" s="18"/>
      <c r="L216" s="19">
        <f>SUM(F216:K216)</f>
        <v>557422.24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18859+11435.42+6720+20+24105.16</f>
        <v>61139.58</v>
      </c>
      <c r="G218" s="18">
        <f>1443.18+1317.5+181.73+871.49+460.66+1754.58+3767.37</f>
        <v>9796.51</v>
      </c>
      <c r="H218" s="18">
        <f>7662+1260.7+604.16+3080.27</f>
        <v>12607.130000000001</v>
      </c>
      <c r="I218" s="18">
        <f>2689.15+279.22</f>
        <v>2968.37</v>
      </c>
      <c r="J218" s="18">
        <f>8643.14+4040.5</f>
        <v>12683.64</v>
      </c>
      <c r="K218" s="18">
        <f>1015.35</f>
        <v>1015.35</v>
      </c>
      <c r="L218" s="19">
        <f>SUM(F218:K218)</f>
        <v>100210.58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27239.47+27129.04+10143.93+19842.6+38394.79+1461.39+27426.26+563.1</f>
        <v>152200.58000000002</v>
      </c>
      <c r="G220" s="18">
        <f>3000+2313.51+1607.01+4292.58+252.27+2794.15+4157.98+4481.24+91.47+1427.19+2099.89+13819.73+668.91+2804.1+4539.37+8180.2+253.83+2009.51+4435.85</f>
        <v>63228.79</v>
      </c>
      <c r="H220" s="18">
        <f>554.47+5075.8+102.33+395.29+45.48+12037.26+2230+9284.86+727.2</f>
        <v>30452.690000000002</v>
      </c>
      <c r="I220" s="18">
        <f>400+1993.78+15.46+789.53+1088.36+142.73+281.3+28.59+62.54+543.63</f>
        <v>5345.9199999999992</v>
      </c>
      <c r="J220" s="18">
        <f>4000+180.8+532.9+658.07</f>
        <v>5371.7699999999995</v>
      </c>
      <c r="K220" s="18"/>
      <c r="L220" s="19">
        <f t="shared" ref="L220:L226" si="2">SUM(F220:K220)</f>
        <v>256599.75000000003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2369+1725+26534.66+11324.39+10381.95+37802.02</f>
        <v>90137.01999999999</v>
      </c>
      <c r="G221" s="18">
        <f>314.98+140+12424.29+243.59+2689.18+1264.92+4210.04+126.92+821.56+21.37+8815.96+6647.17+9840.18+472.52+2765.63+4225.45+1162.65</f>
        <v>56186.409999999989</v>
      </c>
      <c r="H221" s="18">
        <f>205.66+2471.84+3006.45+1662.58+69.85+375.21+8316.4</f>
        <v>16107.99</v>
      </c>
      <c r="I221" s="18">
        <f>613.17+2395.82+2770.99+500+1184.5-11.98+3381.17+868.41+1423.92+9022.24</f>
        <v>22148.239999999998</v>
      </c>
      <c r="J221" s="18">
        <f>100+500+29274.05+6574.47+10243.1+1211.79+5438.95</f>
        <v>53342.359999999993</v>
      </c>
      <c r="K221" s="18">
        <f>96.65</f>
        <v>96.65</v>
      </c>
      <c r="L221" s="19">
        <f t="shared" si="2"/>
        <v>238018.66999999995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2387.7+68.22+795.9+68.22+341.1+46486.35+818.64+354.89+22090.44+1013.48+21270.54+19097.24</f>
        <v>114792.71999999999</v>
      </c>
      <c r="G222" s="18">
        <f>279.37+6.34+8.9+14288.81+739.67+5243.91+7721.79+24.05+2324.02+11514.99+559.92+3033.22+2133.52+3350.93+144.4+78.23</f>
        <v>51452.07</v>
      </c>
      <c r="H222" s="18">
        <f>596.93+1754.62+539.75+2137.56+786.96+5685+1807.73+2114.82+466.64+519.74+6679.16+1981.01+136.44+3.18+603.57</f>
        <v>25813.109999999997</v>
      </c>
      <c r="I222" s="18">
        <f>2005.15+25.13+2181.63+265.57+444.17</f>
        <v>4921.6499999999996</v>
      </c>
      <c r="J222" s="18"/>
      <c r="K222" s="18">
        <f>1267.3+506.76+30.13+438.85-430.51+252.19+1323.3</f>
        <v>3388.0199999999995</v>
      </c>
      <c r="L222" s="19">
        <f t="shared" si="2"/>
        <v>200367.56999999995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93895+36164.07+13500+70614.22</f>
        <v>214173.29</v>
      </c>
      <c r="G223" s="18">
        <f>23822.51+2182.55+15996.84+8170.04+20642.02+389</f>
        <v>71202.959999999992</v>
      </c>
      <c r="H223" s="18">
        <f>7099.45+9500+374.44+121.14</f>
        <v>17095.03</v>
      </c>
      <c r="I223" s="18">
        <v>1651.93</v>
      </c>
      <c r="J223" s="18">
        <v>0</v>
      </c>
      <c r="K223" s="18">
        <f>1306.6+3461.87</f>
        <v>4768.4699999999993</v>
      </c>
      <c r="L223" s="19">
        <f t="shared" si="2"/>
        <v>308891.68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85063.14+46443.59</f>
        <v>131506.72999999998</v>
      </c>
      <c r="G225" s="18">
        <f>38496.56+1721.88+6117.63+8188.92-0.02+12599.24+588.86+3395.22+3495.5</f>
        <v>74603.789999999994</v>
      </c>
      <c r="H225" s="18">
        <f>9096+4782.17+3915.62+4558.59+2231.26+1296.18+927.34+51107.9+24328.5+1535.74+11329.18+24587.77+3317.08+104.6+13037.3+172.95</f>
        <v>156328.18</v>
      </c>
      <c r="I225" s="18">
        <f>12073.78+51314.49+31511.4+421.1</f>
        <v>95320.77</v>
      </c>
      <c r="J225" s="18">
        <v>8145.56</v>
      </c>
      <c r="K225" s="18"/>
      <c r="L225" s="19">
        <f t="shared" si="2"/>
        <v>465905.02999999997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10737.6+1856.71+63308.16+2885.95+26135.72</f>
        <v>104924.14</v>
      </c>
      <c r="I226" s="18"/>
      <c r="J226" s="18"/>
      <c r="K226" s="18"/>
      <c r="L226" s="19">
        <f t="shared" si="2"/>
        <v>104924.14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2099328.38</v>
      </c>
      <c r="G229" s="41">
        <f>SUM(G215:G228)</f>
        <v>978826.13</v>
      </c>
      <c r="H229" s="41">
        <f>SUM(H215:H228)</f>
        <v>390485.77</v>
      </c>
      <c r="I229" s="41">
        <f>SUM(I215:I228)</f>
        <v>160817.5</v>
      </c>
      <c r="J229" s="41">
        <f>SUM(J215:J228)</f>
        <v>91876.79</v>
      </c>
      <c r="K229" s="41">
        <f t="shared" si="3"/>
        <v>9268.489999999998</v>
      </c>
      <c r="L229" s="41">
        <f t="shared" si="3"/>
        <v>3730603.0599999996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1242693.92+15562.5+655.93</f>
        <v>1258912.3499999999</v>
      </c>
      <c r="G233" s="18">
        <f>378735.45+15452.6+92607.34+186900.42+3421.45+50.18+113.87+8173.61+14765.55</f>
        <v>700220.47000000009</v>
      </c>
      <c r="H233" s="18">
        <f>223.27+458+115+2346.92+1650</f>
        <v>4793.1900000000005</v>
      </c>
      <c r="I233" s="18">
        <f>9075.16+9518.64+88.82+5858.7+2472.42+446.27+466.09+1869.78+379.12+422.9+5.12+73.07+1700+6405.25+133.21+86.31+64.21+841+1456.08+1224.04+200+550</f>
        <v>43336.189999999995</v>
      </c>
      <c r="J233" s="18">
        <f>2293.6+6910.87+1417.53+2115.77+799+27.77+809.99+500+455.05+1000+2000+610.08</f>
        <v>18939.660000000003</v>
      </c>
      <c r="K233" s="18">
        <f>570</f>
        <v>570</v>
      </c>
      <c r="L233" s="19">
        <f>SUM(F233:K233)</f>
        <v>2026771.8599999996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209625.37+127763.61+20039.42+5338.37+15691.9+3567.45</f>
        <v>382026.12</v>
      </c>
      <c r="G234" s="18">
        <f>89566.24+2312.15+24556.2+1434.46+29421.84+1939.17+83.39+668.78+8591.18+195.34+1339.67+771.93+2467.12</f>
        <v>163347.47000000003</v>
      </c>
      <c r="H234" s="18">
        <f>87916.48+186080.74+191734.86+75078.29+68361.75</f>
        <v>609172.12</v>
      </c>
      <c r="I234" s="18">
        <f>3700+207.8+420.09+399.9+128.16+535.77+175.87+7</f>
        <v>5574.5899999999992</v>
      </c>
      <c r="J234" s="18"/>
      <c r="K234" s="18"/>
      <c r="L234" s="19">
        <f>SUM(F234:K234)</f>
        <v>1160120.3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122359.05</f>
        <v>122359.05</v>
      </c>
      <c r="I235" s="18"/>
      <c r="J235" s="18"/>
      <c r="K235" s="18"/>
      <c r="L235" s="19">
        <f>SUM(F235:K235)</f>
        <v>122359.05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68331.78+30206.75+8570.8+345+722.5+29224.84</f>
        <v>137401.67000000001</v>
      </c>
      <c r="G236" s="18">
        <f>5283.12+2912.1+2318.51+177.32+2127.24+4567.53</f>
        <v>17385.82</v>
      </c>
      <c r="H236" s="18">
        <f>25868.5+17500+4957.75+518.09+2064.09+481.23</f>
        <v>51389.659999999996</v>
      </c>
      <c r="I236" s="18">
        <f>18865.3+1884</f>
        <v>20749.3</v>
      </c>
      <c r="J236" s="18">
        <f>3901.61+14224.82</f>
        <v>18126.43</v>
      </c>
      <c r="K236" s="18">
        <f>7769.95</f>
        <v>7769.95</v>
      </c>
      <c r="L236" s="19">
        <f>SUM(F236:K236)</f>
        <v>252822.83000000002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86601.47+38633.7+32890.96+12298.39+24048.47+46533+1771.15+33239.56+682.45</f>
        <v>276699.15000000002</v>
      </c>
      <c r="G238" s="18">
        <f>50645.02+2097.26+9052.31+4536.99+33990.41+5204.28+305.85+3387.59+5041.08+5431.09+110.86+1729.7+2544.99+16748.98+810.7+3398.46+5501.54+9914.09+307.64+2435.45+5376.08</f>
        <v>168570.37000000002</v>
      </c>
      <c r="H238" s="18">
        <f>5477.5+672.23+24085.86+124.02+479.08+55.12+2702.68+11252.89+1991.39</f>
        <v>46840.77</v>
      </c>
      <c r="I238" s="18">
        <f>525.38+1000+3386+2417.23+18.74+957.22+1319.52+173.05+340.93+34.65+75.79+658.85</f>
        <v>10907.36</v>
      </c>
      <c r="J238" s="18">
        <f>219.2+646.08+797.55</f>
        <v>1662.83</v>
      </c>
      <c r="K238" s="18"/>
      <c r="L238" s="19">
        <f t="shared" ref="L238:L244" si="4">SUM(F238:K238)</f>
        <v>504680.48000000004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2219+2175+32170.34+13729.57+12582.52+45814.59</f>
        <v>108691.01999999999</v>
      </c>
      <c r="G239" s="18">
        <f>319.54+128.26+15063.08+295.33+3260.33+1533.57+5104.2+153.82+995.7+25.9+10684.6+8056.12+11925.92+572.67+3351.84+5121.08+1409.09+0.05</f>
        <v>68001.100000000006</v>
      </c>
      <c r="H239" s="18">
        <f>249.33+2995.77+3716.42+2014.98+84.65+454.74+10079.16</f>
        <v>19595.05</v>
      </c>
      <c r="I239" s="18">
        <f>950+2980.89+4137.71+600+1177.73-14.52+4097.84+1052.48+1725.73+10934.6</f>
        <v>27642.46</v>
      </c>
      <c r="J239" s="18">
        <f>11129.21+980.28+35479.02+7968+12414.24+1468.64+6591.79</f>
        <v>76031.179999999993</v>
      </c>
      <c r="K239" s="18">
        <f>117.13</f>
        <v>117.13</v>
      </c>
      <c r="L239" s="19">
        <f t="shared" si="4"/>
        <v>300077.93999999994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2893.8+82.68+964.6+82.68+413.4+56339.65+992.16+430.11+26772.76+1228.29+25779.07+23145.12</f>
        <v>139124.31999999998</v>
      </c>
      <c r="G240" s="18">
        <f>338.58+7.69+10.79+17317.48+896.45+6355.41+9358.52+29.14+2816.62+13955.73+678.6+3676.15+2585.74+4061.19+175.01+94.81</f>
        <v>62357.91</v>
      </c>
      <c r="H240" s="18">
        <f>723.45+2126.53+654.16+2590.64+953.76+6890+2190.9+2563.08+565.54+629.91+8094.88+2400.91+165.36+3.85+731.51</f>
        <v>31284.48</v>
      </c>
      <c r="I240" s="18">
        <f>2430.17+30.45+2644.05+321.86+538.32</f>
        <v>5964.8499999999995</v>
      </c>
      <c r="J240" s="18"/>
      <c r="K240" s="18">
        <f>1535.92+614.17+36.52+531.87-521.76+305.64</f>
        <v>2502.36</v>
      </c>
      <c r="L240" s="19">
        <f t="shared" si="4"/>
        <v>241233.91999999998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100344.85+33151+18500+70643.35</f>
        <v>222639.2</v>
      </c>
      <c r="G241" s="18">
        <f>26661.81+1431.81+16978.14+8214.95+21688.95</f>
        <v>74975.66</v>
      </c>
      <c r="H241" s="18">
        <f>12503.98+10109+412.9</f>
        <v>23025.88</v>
      </c>
      <c r="I241" s="18">
        <f>1316.45</f>
        <v>1316.45</v>
      </c>
      <c r="J241" s="18">
        <v>0</v>
      </c>
      <c r="K241" s="18">
        <f>3325+6207.39</f>
        <v>9532.39</v>
      </c>
      <c r="L241" s="19">
        <f t="shared" si="4"/>
        <v>331489.58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103129.65+56287.83</f>
        <v>159417.47999999998</v>
      </c>
      <c r="G243" s="18">
        <f>46672.81+2087.59+7416.94+9928.15+0.02+15269.79+713.67+4114.88+4236.4</f>
        <v>90440.249999999985</v>
      </c>
      <c r="H243" s="18">
        <f>11024+5795.8+4745.58+5524.83+2704.2+1570.92+1123.9+61940.8+29485.2+1861.26+13730.53+29799.42+4020.18+126.78+15800.7+209.6</f>
        <v>189463.7</v>
      </c>
      <c r="I243" s="18">
        <f>14632.96+62191.18+38190.6+510.36</f>
        <v>115525.09999999999</v>
      </c>
      <c r="J243" s="18">
        <v>9872.1</v>
      </c>
      <c r="K243" s="18"/>
      <c r="L243" s="19">
        <f t="shared" si="4"/>
        <v>564718.63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56060.4+24793+2507.07+76727.04+3497.66+133162.92</f>
        <v>296748.09000000003</v>
      </c>
      <c r="I244" s="18"/>
      <c r="J244" s="18"/>
      <c r="K244" s="18"/>
      <c r="L244" s="19">
        <f t="shared" si="4"/>
        <v>296748.09000000003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2684911.3099999996</v>
      </c>
      <c r="G247" s="41">
        <f t="shared" si="5"/>
        <v>1345299.05</v>
      </c>
      <c r="H247" s="41">
        <f t="shared" si="5"/>
        <v>1394671.9900000002</v>
      </c>
      <c r="I247" s="41">
        <f t="shared" si="5"/>
        <v>231016.3</v>
      </c>
      <c r="J247" s="41">
        <f t="shared" si="5"/>
        <v>124632.20000000001</v>
      </c>
      <c r="K247" s="41">
        <f t="shared" si="5"/>
        <v>20491.830000000002</v>
      </c>
      <c r="L247" s="41">
        <f t="shared" si="5"/>
        <v>5801022.6799999988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8853887.6099999994</v>
      </c>
      <c r="G257" s="41">
        <f t="shared" si="8"/>
        <v>4373034.1500000004</v>
      </c>
      <c r="H257" s="41">
        <f t="shared" si="8"/>
        <v>2561949.71</v>
      </c>
      <c r="I257" s="41">
        <f t="shared" si="8"/>
        <v>830062.51</v>
      </c>
      <c r="J257" s="41">
        <f t="shared" si="8"/>
        <v>370303.98</v>
      </c>
      <c r="K257" s="41">
        <f t="shared" si="8"/>
        <v>36430.15</v>
      </c>
      <c r="L257" s="41">
        <f t="shared" si="8"/>
        <v>17025668.109999999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605000</v>
      </c>
      <c r="L260" s="19">
        <f>SUM(F260:K260)</f>
        <v>605000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299588.26</v>
      </c>
      <c r="L261" s="19">
        <f>SUM(F261:K261)</f>
        <v>299588.26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904588.26</v>
      </c>
      <c r="L270" s="41">
        <f t="shared" si="9"/>
        <v>904588.26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8853887.6099999994</v>
      </c>
      <c r="G271" s="42">
        <f t="shared" si="11"/>
        <v>4373034.1500000004</v>
      </c>
      <c r="H271" s="42">
        <f t="shared" si="11"/>
        <v>2561949.71</v>
      </c>
      <c r="I271" s="42">
        <f t="shared" si="11"/>
        <v>830062.51</v>
      </c>
      <c r="J271" s="42">
        <f t="shared" si="11"/>
        <v>370303.98</v>
      </c>
      <c r="K271" s="42">
        <f t="shared" si="11"/>
        <v>941018.41</v>
      </c>
      <c r="L271" s="42">
        <f t="shared" si="11"/>
        <v>17930256.370000001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129296.35</v>
      </c>
      <c r="G276" s="18"/>
      <c r="H276" s="18"/>
      <c r="I276" s="18">
        <v>364.99</v>
      </c>
      <c r="J276" s="18"/>
      <c r="K276" s="18"/>
      <c r="L276" s="19">
        <f>SUM(F276:K276)</f>
        <v>129661.34000000001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6777.42</f>
        <v>6777.42</v>
      </c>
      <c r="G277" s="18">
        <f>467.64</f>
        <v>467.64</v>
      </c>
      <c r="H277" s="18"/>
      <c r="I277" s="18"/>
      <c r="J277" s="18">
        <f>944.3</f>
        <v>944.3</v>
      </c>
      <c r="K277" s="18"/>
      <c r="L277" s="19">
        <f>SUM(F277:K277)</f>
        <v>8189.3600000000006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5222.6099999999997</v>
      </c>
      <c r="G281" s="18">
        <f>383.08</f>
        <v>383.08</v>
      </c>
      <c r="H281" s="18"/>
      <c r="I281" s="18">
        <f>454.31</f>
        <v>454.31</v>
      </c>
      <c r="J281" s="18"/>
      <c r="K281" s="18"/>
      <c r="L281" s="19">
        <f t="shared" ref="L281:L287" si="12">SUM(F281:K281)</f>
        <v>6060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2385.6+3000+6071.69+973.76+3305.05+1118.25-0.11</f>
        <v>16854.240000000002</v>
      </c>
      <c r="G282" s="18">
        <f>464.49+72.54+211.27+80.51</f>
        <v>828.81</v>
      </c>
      <c r="H282" s="18">
        <f>32.98+2.49+844.9+484+3400+1747.19+5900+1475+896.27+7089.01+979.36+250+1995.95+2547.72+1267.35+2982+1505.91+14910+1988+364.62</f>
        <v>50662.750000000007</v>
      </c>
      <c r="I282" s="18">
        <f>75.33+323.35+997.81+500+1121.43+716.17+2512.4+250.69</f>
        <v>6497.1799999999994</v>
      </c>
      <c r="J282" s="18"/>
      <c r="K282" s="18"/>
      <c r="L282" s="19">
        <f t="shared" si="12"/>
        <v>74842.98000000001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2676.35+1666.19</f>
        <v>4342.54</v>
      </c>
      <c r="G283" s="18">
        <f>121.94</f>
        <v>121.94</v>
      </c>
      <c r="H283" s="18"/>
      <c r="I283" s="18"/>
      <c r="J283" s="18"/>
      <c r="K283" s="18"/>
      <c r="L283" s="19">
        <f t="shared" si="12"/>
        <v>4464.4799999999996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162493.16</v>
      </c>
      <c r="G290" s="42">
        <f t="shared" si="13"/>
        <v>1801.47</v>
      </c>
      <c r="H290" s="42">
        <f t="shared" si="13"/>
        <v>50662.750000000007</v>
      </c>
      <c r="I290" s="42">
        <f t="shared" si="13"/>
        <v>7316.48</v>
      </c>
      <c r="J290" s="42">
        <f t="shared" si="13"/>
        <v>944.3</v>
      </c>
      <c r="K290" s="42">
        <f t="shared" si="13"/>
        <v>0</v>
      </c>
      <c r="L290" s="41">
        <f t="shared" si="13"/>
        <v>223218.16000000003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31636.5+27239.5+10004.8</f>
        <v>68880.800000000003</v>
      </c>
      <c r="G296" s="18">
        <f>5269.38</f>
        <v>5269.38</v>
      </c>
      <c r="H296" s="18"/>
      <c r="I296" s="18"/>
      <c r="J296" s="18">
        <f>432.06</f>
        <v>432.06</v>
      </c>
      <c r="K296" s="18"/>
      <c r="L296" s="19">
        <f>SUM(F296:K296)</f>
        <v>74582.240000000005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2389.58-0.02</f>
        <v>2389.56</v>
      </c>
      <c r="G300" s="18">
        <f>175.28</f>
        <v>175.28</v>
      </c>
      <c r="H300" s="18"/>
      <c r="I300" s="18">
        <f>207.87</f>
        <v>207.87</v>
      </c>
      <c r="J300" s="18"/>
      <c r="K300" s="18"/>
      <c r="L300" s="19">
        <f t="shared" ref="L300:L306" si="14">SUM(F300:K300)</f>
        <v>2772.71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1091.52+2778.07+445.54+1512.21+511.65</f>
        <v>6338.99</v>
      </c>
      <c r="G301" s="18">
        <f>212.53+33.19+96.67+36.84</f>
        <v>379.23</v>
      </c>
      <c r="H301" s="18">
        <f>15.09+1.14+386.58+3243.54+448.1+913.24+1165.7+579.87+1364.4+689.02+6822+909.6+166.83</f>
        <v>16705.11</v>
      </c>
      <c r="I301" s="18">
        <f>34.47+327.68+1149.54+114.7+556.43</f>
        <v>2182.8200000000002</v>
      </c>
      <c r="J301" s="18"/>
      <c r="K301" s="18"/>
      <c r="L301" s="19">
        <f t="shared" si="14"/>
        <v>25606.15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f>1224.55+762.36</f>
        <v>1986.9099999999999</v>
      </c>
      <c r="G302" s="18">
        <f>55.79</f>
        <v>55.79</v>
      </c>
      <c r="H302" s="18"/>
      <c r="I302" s="18"/>
      <c r="J302" s="18"/>
      <c r="K302" s="18"/>
      <c r="L302" s="19">
        <f t="shared" si="14"/>
        <v>2042.6999999999998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79596.260000000009</v>
      </c>
      <c r="G309" s="42">
        <f t="shared" si="15"/>
        <v>5879.6799999999994</v>
      </c>
      <c r="H309" s="42">
        <f t="shared" si="15"/>
        <v>16705.11</v>
      </c>
      <c r="I309" s="42">
        <f t="shared" si="15"/>
        <v>2390.69</v>
      </c>
      <c r="J309" s="42">
        <f t="shared" si="15"/>
        <v>432.06</v>
      </c>
      <c r="K309" s="42">
        <f t="shared" si="15"/>
        <v>0</v>
      </c>
      <c r="L309" s="41">
        <f t="shared" si="15"/>
        <v>105003.8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f>20.9</f>
        <v>20.9</v>
      </c>
      <c r="J314" s="18"/>
      <c r="K314" s="18"/>
      <c r="L314" s="19">
        <f>SUM(F314:K314)</f>
        <v>20.9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33235.5+42839-0.01</f>
        <v>76074.490000000005</v>
      </c>
      <c r="G315" s="18">
        <f>5819.7</f>
        <v>5819.7</v>
      </c>
      <c r="H315" s="18"/>
      <c r="I315" s="18"/>
      <c r="J315" s="18">
        <f>523.64</f>
        <v>523.64</v>
      </c>
      <c r="K315" s="18"/>
      <c r="L315" s="19">
        <f>SUM(F315:K315)</f>
        <v>82417.83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2896.08+3600</f>
        <v>6496.08</v>
      </c>
      <c r="G319" s="18">
        <f>212.43+275.58</f>
        <v>488.01</v>
      </c>
      <c r="H319" s="18"/>
      <c r="I319" s="18">
        <f>251.93+119.73</f>
        <v>371.66</v>
      </c>
      <c r="J319" s="18"/>
      <c r="K319" s="18"/>
      <c r="L319" s="19">
        <f t="shared" ref="L319:L325" si="16">SUM(F319:K319)</f>
        <v>7355.75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1322.88+3366.92+539.98+1832.74+620.1</f>
        <v>7682.6200000000008</v>
      </c>
      <c r="G320" s="18">
        <f>257.57+40.23+117.15+44.64</f>
        <v>459.59000000000003</v>
      </c>
      <c r="H320" s="18">
        <f>18.29+1.38+468.52+3931.05+543.08+1106.81+1412.78+702.78+1653.6+835.07+8268+1102.4+202.19-0.02</f>
        <v>20245.93</v>
      </c>
      <c r="I320" s="18">
        <f>41.77+397.13+1393.2+139.02+674.61</f>
        <v>2645.73</v>
      </c>
      <c r="J320" s="18"/>
      <c r="K320" s="18"/>
      <c r="L320" s="19">
        <f t="shared" si="16"/>
        <v>31033.87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f>1484.11+923.95</f>
        <v>2408.06</v>
      </c>
      <c r="G321" s="18">
        <f>67.62</f>
        <v>67.62</v>
      </c>
      <c r="H321" s="18"/>
      <c r="I321" s="18">
        <v>0.98</v>
      </c>
      <c r="J321" s="18"/>
      <c r="K321" s="18"/>
      <c r="L321" s="19">
        <f t="shared" si="16"/>
        <v>2476.66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92661.25</v>
      </c>
      <c r="G328" s="42">
        <f t="shared" si="17"/>
        <v>6834.92</v>
      </c>
      <c r="H328" s="42">
        <f t="shared" si="17"/>
        <v>20245.93</v>
      </c>
      <c r="I328" s="42">
        <f t="shared" si="17"/>
        <v>3039.27</v>
      </c>
      <c r="J328" s="42">
        <f t="shared" si="17"/>
        <v>523.64</v>
      </c>
      <c r="K328" s="42">
        <f t="shared" si="17"/>
        <v>0</v>
      </c>
      <c r="L328" s="41">
        <f t="shared" si="17"/>
        <v>123305.01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334750.67000000004</v>
      </c>
      <c r="G338" s="41">
        <f t="shared" si="20"/>
        <v>14516.07</v>
      </c>
      <c r="H338" s="41">
        <f t="shared" si="20"/>
        <v>87613.790000000008</v>
      </c>
      <c r="I338" s="41">
        <f t="shared" si="20"/>
        <v>12746.44</v>
      </c>
      <c r="J338" s="41">
        <f t="shared" si="20"/>
        <v>1900</v>
      </c>
      <c r="K338" s="41">
        <f t="shared" si="20"/>
        <v>0</v>
      </c>
      <c r="L338" s="41">
        <f t="shared" si="20"/>
        <v>451526.97000000003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f>134+41+4186.17+6100.84+209.88+1276</f>
        <v>11947.89</v>
      </c>
      <c r="L344" s="19">
        <f t="shared" ref="L344:L350" si="21">SUM(F344:K344)</f>
        <v>11947.89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11947.89</v>
      </c>
      <c r="L351" s="41">
        <f>SUM(L341:L350)</f>
        <v>11947.89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334750.67000000004</v>
      </c>
      <c r="G352" s="41">
        <f>G338</f>
        <v>14516.07</v>
      </c>
      <c r="H352" s="41">
        <f>H338</f>
        <v>87613.790000000008</v>
      </c>
      <c r="I352" s="41">
        <f>I338</f>
        <v>12746.44</v>
      </c>
      <c r="J352" s="41">
        <f>J338</f>
        <v>1900</v>
      </c>
      <c r="K352" s="47">
        <f>K338+K351</f>
        <v>11947.89</v>
      </c>
      <c r="L352" s="41">
        <f>L338+L351</f>
        <v>463474.86000000004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78769.710000000006</v>
      </c>
      <c r="G358" s="18">
        <v>20920.580000000002</v>
      </c>
      <c r="H358" s="18">
        <v>1949.33</v>
      </c>
      <c r="I358" s="18">
        <v>56087.47</v>
      </c>
      <c r="J358" s="18">
        <v>10973.69</v>
      </c>
      <c r="K358" s="18">
        <v>1510.63</v>
      </c>
      <c r="L358" s="13">
        <f>SUM(F358:K358)</f>
        <v>170211.41000000003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42543.61</v>
      </c>
      <c r="G359" s="18">
        <v>12002</v>
      </c>
      <c r="H359" s="18">
        <v>891.91</v>
      </c>
      <c r="I359" s="18">
        <v>39850.9</v>
      </c>
      <c r="J359" s="18">
        <v>5020.96</v>
      </c>
      <c r="K359" s="18">
        <v>691.18</v>
      </c>
      <c r="L359" s="19">
        <f>SUM(F359:K359)</f>
        <v>101000.56000000001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51579</v>
      </c>
      <c r="G360" s="18">
        <v>14550.57</v>
      </c>
      <c r="H360" s="18">
        <v>1080.96</v>
      </c>
      <c r="I360" s="18">
        <v>48314.23</v>
      </c>
      <c r="J360" s="18">
        <v>6085.21</v>
      </c>
      <c r="K360" s="18">
        <v>837.69</v>
      </c>
      <c r="L360" s="19">
        <f>SUM(F360:K360)</f>
        <v>122447.66000000002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172892.32</v>
      </c>
      <c r="G362" s="47">
        <f t="shared" si="22"/>
        <v>47473.15</v>
      </c>
      <c r="H362" s="47">
        <f t="shared" si="22"/>
        <v>3922.2</v>
      </c>
      <c r="I362" s="47">
        <f t="shared" si="22"/>
        <v>144252.6</v>
      </c>
      <c r="J362" s="47">
        <f t="shared" si="22"/>
        <v>22079.86</v>
      </c>
      <c r="K362" s="47">
        <f t="shared" si="22"/>
        <v>3039.5</v>
      </c>
      <c r="L362" s="47">
        <f t="shared" si="22"/>
        <v>393659.63000000006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48279.65</f>
        <v>48279.65</v>
      </c>
      <c r="G367" s="18">
        <f>27513.01+8868.21</f>
        <v>36381.22</v>
      </c>
      <c r="H367" s="18">
        <f>33356.48+10751.72</f>
        <v>44108.200000000004</v>
      </c>
      <c r="I367" s="56">
        <f>SUM(F367:H367)</f>
        <v>128769.07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56087.47-48279.65</f>
        <v>7807.82</v>
      </c>
      <c r="G368" s="63">
        <f>39850.9-36381.22</f>
        <v>3469.6800000000003</v>
      </c>
      <c r="H368" s="63">
        <f>48314.23-44108.2</f>
        <v>4206.0300000000061</v>
      </c>
      <c r="I368" s="56">
        <f>SUM(F368:H368)</f>
        <v>15483.530000000006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56087.47</v>
      </c>
      <c r="G369" s="47">
        <f>SUM(G367:G368)</f>
        <v>39850.9</v>
      </c>
      <c r="H369" s="47">
        <f>SUM(H367:H368)</f>
        <v>48314.23000000001</v>
      </c>
      <c r="I369" s="47">
        <f>SUM(I367:I368)</f>
        <v>144252.6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354.39</v>
      </c>
      <c r="I392" s="18"/>
      <c r="J392" s="24" t="s">
        <v>288</v>
      </c>
      <c r="K392" s="24" t="s">
        <v>288</v>
      </c>
      <c r="L392" s="56">
        <f t="shared" si="25"/>
        <v>354.39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354.39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354.39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354.39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354.39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146196.56</v>
      </c>
      <c r="G440" s="18"/>
      <c r="H440" s="18"/>
      <c r="I440" s="56">
        <f t="shared" si="33"/>
        <v>146196.56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146196.56</v>
      </c>
      <c r="G446" s="13">
        <f>SUM(G439:G445)</f>
        <v>0</v>
      </c>
      <c r="H446" s="13">
        <f>SUM(H439:H445)</f>
        <v>0</v>
      </c>
      <c r="I446" s="13">
        <f>SUM(I439:I445)</f>
        <v>146196.56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146196.56</v>
      </c>
      <c r="G459" s="18"/>
      <c r="H459" s="18"/>
      <c r="I459" s="56">
        <f t="shared" si="34"/>
        <v>146196.56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146196.56</v>
      </c>
      <c r="G460" s="83">
        <f>SUM(G454:G459)</f>
        <v>0</v>
      </c>
      <c r="H460" s="83">
        <f>SUM(H454:H459)</f>
        <v>0</v>
      </c>
      <c r="I460" s="83">
        <f>SUM(I454:I459)</f>
        <v>146196.56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146196.56</v>
      </c>
      <c r="G461" s="42">
        <f>G452+G460</f>
        <v>0</v>
      </c>
      <c r="H461" s="42">
        <f>H452+H460</f>
        <v>0</v>
      </c>
      <c r="I461" s="42">
        <f>I452+I460</f>
        <v>146196.56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411672.12</v>
      </c>
      <c r="G465" s="18">
        <v>73681.240000000005</v>
      </c>
      <c r="H465" s="18">
        <v>7622.47</v>
      </c>
      <c r="I465" s="18"/>
      <c r="J465" s="18">
        <v>95842.17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18174071.559999999</v>
      </c>
      <c r="G468" s="18">
        <v>378699.53</v>
      </c>
      <c r="H468" s="18">
        <v>472448.39</v>
      </c>
      <c r="I468" s="18"/>
      <c r="J468" s="18">
        <v>354.39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50000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18174071.559999999</v>
      </c>
      <c r="G470" s="53">
        <f>SUM(G468:G469)</f>
        <v>378699.53</v>
      </c>
      <c r="H470" s="53">
        <f>SUM(H468:H469)</f>
        <v>472448.39</v>
      </c>
      <c r="I470" s="53">
        <f>SUM(I468:I469)</f>
        <v>0</v>
      </c>
      <c r="J470" s="53">
        <f>SUM(J468:J469)</f>
        <v>50354.39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17930256.370000001</v>
      </c>
      <c r="G472" s="18">
        <v>393659.63</v>
      </c>
      <c r="H472" s="18">
        <v>463474.86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17930256.370000001</v>
      </c>
      <c r="G474" s="53">
        <f>SUM(G472:G473)</f>
        <v>393659.63</v>
      </c>
      <c r="H474" s="53">
        <f>SUM(H472:H473)</f>
        <v>463474.86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655487.30999999866</v>
      </c>
      <c r="G476" s="53">
        <f>(G465+G470)- G474</f>
        <v>58721.140000000014</v>
      </c>
      <c r="H476" s="53">
        <f>(H465+H470)- H474</f>
        <v>16596</v>
      </c>
      <c r="I476" s="53">
        <f>(I465+I470)- I474</f>
        <v>0</v>
      </c>
      <c r="J476" s="53">
        <f>(J465+J470)- J474</f>
        <v>146196.56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12072350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4.13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7435000</v>
      </c>
      <c r="G495" s="18"/>
      <c r="H495" s="18"/>
      <c r="I495" s="18"/>
      <c r="J495" s="18"/>
      <c r="K495" s="53">
        <f>SUM(F495:J495)</f>
        <v>7435000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605000</v>
      </c>
      <c r="G497" s="18"/>
      <c r="H497" s="18"/>
      <c r="I497" s="18"/>
      <c r="J497" s="18"/>
      <c r="K497" s="53">
        <f t="shared" si="35"/>
        <v>605000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6830000</v>
      </c>
      <c r="G498" s="204"/>
      <c r="H498" s="204"/>
      <c r="I498" s="204"/>
      <c r="J498" s="204"/>
      <c r="K498" s="205">
        <f t="shared" si="35"/>
        <v>6830000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135692.63+132895.63+83421.63+119263.13+69789.13+104928.75+55454.75+89808.75+40334.75+73765+24291+56887.5+12413.5+38950+6476+20137.5+7266.5</f>
        <v>1071776.1499999999</v>
      </c>
      <c r="G499" s="18"/>
      <c r="H499" s="18"/>
      <c r="I499" s="18"/>
      <c r="J499" s="18"/>
      <c r="K499" s="53">
        <f t="shared" si="35"/>
        <v>1071776.1499999999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7901776.1500000004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7901776.1500000004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635000</v>
      </c>
      <c r="G501" s="204"/>
      <c r="H501" s="204"/>
      <c r="I501" s="204"/>
      <c r="J501" s="204"/>
      <c r="K501" s="205">
        <f t="shared" si="35"/>
        <v>635000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135692.63+132895.63</f>
        <v>268588.26</v>
      </c>
      <c r="G502" s="18"/>
      <c r="H502" s="18"/>
      <c r="I502" s="18"/>
      <c r="J502" s="18"/>
      <c r="K502" s="53">
        <f t="shared" si="35"/>
        <v>268588.26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903588.26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903588.26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953243.76+6777.42</f>
        <v>960021.18</v>
      </c>
      <c r="G521" s="18">
        <f>415468.69+467.64</f>
        <v>415936.33</v>
      </c>
      <c r="H521" s="18">
        <f>38189.72</f>
        <v>38189.72</v>
      </c>
      <c r="I521" s="18">
        <f>10693.37</f>
        <v>10693.37</v>
      </c>
      <c r="J521" s="18">
        <f>3812.84+944.3</f>
        <v>4757.1400000000003</v>
      </c>
      <c r="K521" s="18">
        <v>0</v>
      </c>
      <c r="L521" s="88">
        <f>SUM(F521:K521)</f>
        <v>1429597.74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366844.95+68880.8</f>
        <v>435725.75</v>
      </c>
      <c r="G522" s="18">
        <f>157215.41+5269.38</f>
        <v>162484.79</v>
      </c>
      <c r="H522" s="18">
        <f>25029.02</f>
        <v>25029.02</v>
      </c>
      <c r="I522" s="18">
        <f>3908.71</f>
        <v>3908.71</v>
      </c>
      <c r="J522" s="18">
        <f>4424.15+432.06</f>
        <v>4856.21</v>
      </c>
      <c r="K522" s="18">
        <v>0</v>
      </c>
      <c r="L522" s="88">
        <f>SUM(F522:K522)</f>
        <v>632004.48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382026.12+76074.49</f>
        <v>458100.61</v>
      </c>
      <c r="G523" s="18">
        <f>163347.47+5819.7</f>
        <v>169167.17</v>
      </c>
      <c r="H523" s="18">
        <f>609172.12</f>
        <v>609172.12</v>
      </c>
      <c r="I523" s="18">
        <f>5574.59</f>
        <v>5574.59</v>
      </c>
      <c r="J523" s="18">
        <f>523.64</f>
        <v>523.64</v>
      </c>
      <c r="K523" s="18">
        <v>0</v>
      </c>
      <c r="L523" s="88">
        <f>SUM(F523:K523)</f>
        <v>1242538.1299999999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1853847.54</v>
      </c>
      <c r="G524" s="108">
        <f t="shared" ref="G524:L524" si="36">SUM(G521:G523)</f>
        <v>747588.29</v>
      </c>
      <c r="H524" s="108">
        <f t="shared" si="36"/>
        <v>672390.86</v>
      </c>
      <c r="I524" s="108">
        <f t="shared" si="36"/>
        <v>20176.670000000002</v>
      </c>
      <c r="J524" s="108">
        <f t="shared" si="36"/>
        <v>10136.99</v>
      </c>
      <c r="K524" s="108">
        <f t="shared" si="36"/>
        <v>0</v>
      </c>
      <c r="L524" s="89">
        <f t="shared" si="36"/>
        <v>3304140.3499999996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43367.52+83914.74+3193.98+59942.18+1230.7+5222.61</f>
        <v>196871.73</v>
      </c>
      <c r="G526" s="18">
        <f>9794.1+199.92+3119.23+4589.48+30204.07+1461.96+6128.57+9921.14+17878.46+554.77+4391.94+9694.89+677.16+383.08</f>
        <v>98998.77</v>
      </c>
      <c r="H526" s="18">
        <f>11093.54+223.65+863.94+99.4+4012.42+4873.84+20292.76</f>
        <v>41459.550000000003</v>
      </c>
      <c r="I526" s="18">
        <f>614.8+62.49+136.68+1188.14</f>
        <v>2002.1100000000001</v>
      </c>
      <c r="J526" s="18">
        <f>1438.26</f>
        <v>1438.26</v>
      </c>
      <c r="K526" s="18"/>
      <c r="L526" s="88">
        <f>SUM(F526:K526)</f>
        <v>340770.42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19842.6+38394.79+1461.39+27426.26+563.1+2389.58</f>
        <v>90077.72</v>
      </c>
      <c r="G527" s="18">
        <f>4481.24+91.47+1427.19+2099.89+13819.73+668.91+2804.1+4539.37+8180.2+253.83+2009.51+4435.85+309.83+175.28</f>
        <v>45296.399999999994</v>
      </c>
      <c r="H527" s="18">
        <f>5075.8+102.33+395.29+45.48+12037.26+2230+9284.86+727.2</f>
        <v>29898.22</v>
      </c>
      <c r="I527" s="18">
        <f>281.3+28.59+62.54+543.63</f>
        <v>916.06</v>
      </c>
      <c r="J527" s="18">
        <f>658.07</f>
        <v>658.07</v>
      </c>
      <c r="K527" s="18"/>
      <c r="L527" s="88">
        <f>SUM(F527:K527)</f>
        <v>166846.47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24048.47+46533+1771.15+33239.56+682.45+2896.08</f>
        <v>109170.70999999999</v>
      </c>
      <c r="G528" s="18">
        <f>5431.09+110.86+1729.7+2544.99+16748.98+810.7+3398.46+5501.54+9914.09+307.64+2435.45+5376.08+375.5+212.43</f>
        <v>54897.51</v>
      </c>
      <c r="H528" s="18">
        <f>24085.86+124.02+479.08+55.12+2702.68+11252.89+1991.39</f>
        <v>40691.040000000001</v>
      </c>
      <c r="I528" s="18">
        <f>340.93+34.65+75.79+658.85</f>
        <v>1110.22</v>
      </c>
      <c r="J528" s="18">
        <f>797.55</f>
        <v>797.55</v>
      </c>
      <c r="K528" s="18"/>
      <c r="L528" s="88">
        <f>SUM(F528:K528)</f>
        <v>206667.03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396120.16000000003</v>
      </c>
      <c r="G529" s="89">
        <f t="shared" ref="G529:L529" si="37">SUM(G526:G528)</f>
        <v>199192.68</v>
      </c>
      <c r="H529" s="89">
        <f t="shared" si="37"/>
        <v>112048.81</v>
      </c>
      <c r="I529" s="89">
        <f t="shared" si="37"/>
        <v>4028.3900000000003</v>
      </c>
      <c r="J529" s="89">
        <f t="shared" si="37"/>
        <v>2893.88</v>
      </c>
      <c r="K529" s="89">
        <f t="shared" si="37"/>
        <v>0</v>
      </c>
      <c r="L529" s="89">
        <f t="shared" si="37"/>
        <v>714283.92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46488.39+41738.47+0.01</f>
        <v>88226.87</v>
      </c>
      <c r="G531" s="18">
        <f>25166.9+1223.75+6629.34+4662.96+7323.71+315.6+170.98</f>
        <v>45493.240000000005</v>
      </c>
      <c r="H531" s="18">
        <f>14597.81+4329.66+298.2+6.95+1319.15</f>
        <v>20551.770000000004</v>
      </c>
      <c r="I531" s="18">
        <f>580.43+970.77</f>
        <v>1551.1999999999998</v>
      </c>
      <c r="J531" s="18"/>
      <c r="K531" s="18">
        <v>551.16999999999996</v>
      </c>
      <c r="L531" s="88">
        <f>SUM(F531:K531)</f>
        <v>156374.25000000003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21270.54+19097.24</f>
        <v>40367.78</v>
      </c>
      <c r="G532" s="18">
        <f>11514.99+559.92+3033.22+2133.52+3350.93+144.4+78.23</f>
        <v>20815.21</v>
      </c>
      <c r="H532" s="18">
        <f>6679.16+1981.01+136.44+3.18+603.57</f>
        <v>9403.36</v>
      </c>
      <c r="I532" s="18">
        <f>265.57+444.17</f>
        <v>709.74</v>
      </c>
      <c r="J532" s="18"/>
      <c r="K532" s="18">
        <v>252.19</v>
      </c>
      <c r="L532" s="88">
        <f>SUM(F532:K532)</f>
        <v>71548.280000000013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25779.07+23145.12</f>
        <v>48924.19</v>
      </c>
      <c r="G533" s="18">
        <f>13955.73+678.6+3676.15+2585.74+4061.19+175.01+94.81</f>
        <v>25227.23</v>
      </c>
      <c r="H533" s="18">
        <f>8094.88+2400.91+165.36+3.85+731.51</f>
        <v>11396.510000000002</v>
      </c>
      <c r="I533" s="18">
        <f>321.86+538.32</f>
        <v>860.18000000000006</v>
      </c>
      <c r="J533" s="18"/>
      <c r="K533" s="18">
        <v>305.64</v>
      </c>
      <c r="L533" s="88">
        <f>SUM(F533:K533)</f>
        <v>86713.749999999985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177518.84</v>
      </c>
      <c r="G534" s="89">
        <f t="shared" ref="G534:L534" si="38">SUM(G531:G533)</f>
        <v>91535.680000000008</v>
      </c>
      <c r="H534" s="89">
        <f t="shared" si="38"/>
        <v>41351.640000000007</v>
      </c>
      <c r="I534" s="89">
        <f t="shared" si="38"/>
        <v>3121.12</v>
      </c>
      <c r="J534" s="89">
        <f t="shared" si="38"/>
        <v>0</v>
      </c>
      <c r="K534" s="89">
        <f t="shared" si="38"/>
        <v>1109</v>
      </c>
      <c r="L534" s="89">
        <f t="shared" si="38"/>
        <v>314636.28000000003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57121.599999999999</v>
      </c>
      <c r="I541" s="18"/>
      <c r="J541" s="18"/>
      <c r="K541" s="18"/>
      <c r="L541" s="88">
        <f>SUM(F541:K541)</f>
        <v>57121.599999999999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26135.72</v>
      </c>
      <c r="I542" s="18"/>
      <c r="J542" s="18"/>
      <c r="K542" s="18"/>
      <c r="L542" s="88">
        <f>SUM(F542:K542)</f>
        <v>26135.72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101487.44+31675.47</f>
        <v>133162.91</v>
      </c>
      <c r="I543" s="18"/>
      <c r="J543" s="18"/>
      <c r="K543" s="18"/>
      <c r="L543" s="88">
        <f>SUM(F543:K543)</f>
        <v>133162.91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216420.23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216420.23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2427486.54</v>
      </c>
      <c r="G545" s="89">
        <f t="shared" ref="G545:L545" si="41">G524+G529+G534+G539+G544</f>
        <v>1038316.65</v>
      </c>
      <c r="H545" s="89">
        <f t="shared" si="41"/>
        <v>1042211.5399999999</v>
      </c>
      <c r="I545" s="89">
        <f t="shared" si="41"/>
        <v>27326.18</v>
      </c>
      <c r="J545" s="89">
        <f t="shared" si="41"/>
        <v>13030.869999999999</v>
      </c>
      <c r="K545" s="89">
        <f t="shared" si="41"/>
        <v>1109</v>
      </c>
      <c r="L545" s="89">
        <f t="shared" si="41"/>
        <v>4549480.78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1429597.74</v>
      </c>
      <c r="G549" s="87">
        <f>L526</f>
        <v>340770.42</v>
      </c>
      <c r="H549" s="87">
        <f>L531</f>
        <v>156374.25000000003</v>
      </c>
      <c r="I549" s="87">
        <f>L536</f>
        <v>0</v>
      </c>
      <c r="J549" s="87">
        <f>L541</f>
        <v>57121.599999999999</v>
      </c>
      <c r="K549" s="87">
        <f>SUM(F549:J549)</f>
        <v>1983864.01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632004.48</v>
      </c>
      <c r="G550" s="87">
        <f>L527</f>
        <v>166846.47</v>
      </c>
      <c r="H550" s="87">
        <f>L532</f>
        <v>71548.280000000013</v>
      </c>
      <c r="I550" s="87">
        <f>L537</f>
        <v>0</v>
      </c>
      <c r="J550" s="87">
        <f>L542</f>
        <v>26135.72</v>
      </c>
      <c r="K550" s="87">
        <f>SUM(F550:J550)</f>
        <v>896534.95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1242538.1299999999</v>
      </c>
      <c r="G551" s="87">
        <f>L528</f>
        <v>206667.03</v>
      </c>
      <c r="H551" s="87">
        <f>L533</f>
        <v>86713.749999999985</v>
      </c>
      <c r="I551" s="87">
        <f>L538</f>
        <v>0</v>
      </c>
      <c r="J551" s="87">
        <f>L543</f>
        <v>133162.91</v>
      </c>
      <c r="K551" s="87">
        <f>SUM(F551:J551)</f>
        <v>1669081.8199999998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3304140.3499999996</v>
      </c>
      <c r="G552" s="89">
        <f t="shared" si="42"/>
        <v>714283.92</v>
      </c>
      <c r="H552" s="89">
        <f t="shared" si="42"/>
        <v>314636.28000000003</v>
      </c>
      <c r="I552" s="89">
        <f t="shared" si="42"/>
        <v>0</v>
      </c>
      <c r="J552" s="89">
        <f t="shared" si="42"/>
        <v>216420.23</v>
      </c>
      <c r="K552" s="89">
        <f t="shared" si="42"/>
        <v>4549480.7799999993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f>129296.25+3000</f>
        <v>132296.25</v>
      </c>
      <c r="G557" s="18"/>
      <c r="H557" s="18">
        <f>484+3400+1747.19+5900+1475+896.27</f>
        <v>13902.460000000001</v>
      </c>
      <c r="I557" s="18">
        <f>364.99+323.35+997.81+500+1121.43</f>
        <v>3307.58</v>
      </c>
      <c r="J557" s="18"/>
      <c r="K557" s="18"/>
      <c r="L557" s="88">
        <f>SUM(F557:K557)</f>
        <v>149506.28999999998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132296.25</v>
      </c>
      <c r="G560" s="108">
        <f t="shared" si="43"/>
        <v>0</v>
      </c>
      <c r="H560" s="108">
        <f t="shared" si="43"/>
        <v>13902.460000000001</v>
      </c>
      <c r="I560" s="108">
        <f t="shared" si="43"/>
        <v>3307.58</v>
      </c>
      <c r="J560" s="108">
        <f t="shared" si="43"/>
        <v>0</v>
      </c>
      <c r="K560" s="108">
        <f t="shared" si="43"/>
        <v>0</v>
      </c>
      <c r="L560" s="89">
        <f t="shared" si="43"/>
        <v>149506.28999999998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44834+10192.71</f>
        <v>55026.71</v>
      </c>
      <c r="G562" s="18">
        <f>24546.22+558.12+3827.63+2205.51+7048.91</f>
        <v>38186.39</v>
      </c>
      <c r="H562" s="18"/>
      <c r="I562" s="18">
        <f>502.48+20</f>
        <v>522.48</v>
      </c>
      <c r="J562" s="18"/>
      <c r="K562" s="18"/>
      <c r="L562" s="88">
        <f>SUM(F562:K562)</f>
        <v>93735.58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55026.71</v>
      </c>
      <c r="G565" s="89">
        <f t="shared" si="44"/>
        <v>38186.39</v>
      </c>
      <c r="H565" s="89">
        <f t="shared" si="44"/>
        <v>0</v>
      </c>
      <c r="I565" s="89">
        <f t="shared" si="44"/>
        <v>522.48</v>
      </c>
      <c r="J565" s="89">
        <f t="shared" si="44"/>
        <v>0</v>
      </c>
      <c r="K565" s="89">
        <f t="shared" si="44"/>
        <v>0</v>
      </c>
      <c r="L565" s="89">
        <f t="shared" si="44"/>
        <v>93735.58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187322.96</v>
      </c>
      <c r="G571" s="89">
        <f t="shared" ref="G571:L571" si="46">G560+G565+G570</f>
        <v>38186.39</v>
      </c>
      <c r="H571" s="89">
        <f t="shared" si="46"/>
        <v>13902.460000000001</v>
      </c>
      <c r="I571" s="89">
        <f t="shared" si="46"/>
        <v>3830.06</v>
      </c>
      <c r="J571" s="89">
        <f t="shared" si="46"/>
        <v>0</v>
      </c>
      <c r="K571" s="89">
        <f t="shared" si="46"/>
        <v>0</v>
      </c>
      <c r="L571" s="89">
        <f t="shared" si="46"/>
        <v>243241.87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87916.479999999996</v>
      </c>
      <c r="I579" s="87">
        <f t="shared" si="47"/>
        <v>87916.479999999996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75078.289999999994</v>
      </c>
      <c r="I580" s="87">
        <f t="shared" si="47"/>
        <v>75078.289999999994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7555.49</v>
      </c>
      <c r="H582" s="18">
        <v>191734.86</v>
      </c>
      <c r="I582" s="87">
        <f t="shared" si="47"/>
        <v>199290.34999999998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68361.75</v>
      </c>
      <c r="I583" s="87">
        <f t="shared" si="47"/>
        <v>68361.75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122359.05</v>
      </c>
      <c r="I584" s="87">
        <f t="shared" si="47"/>
        <v>122359.05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138364.8+26685.3+6307.46</f>
        <v>171357.55999999997</v>
      </c>
      <c r="I591" s="18">
        <f>63308.16+2885.95</f>
        <v>66194.11</v>
      </c>
      <c r="J591" s="18">
        <f>76727.04+3497.65+0.02</f>
        <v>80224.709999999992</v>
      </c>
      <c r="K591" s="104">
        <f t="shared" ref="K591:K597" si="48">SUM(H591:J591)</f>
        <v>317776.38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57121.599999999999</v>
      </c>
      <c r="I592" s="18">
        <v>26135.72</v>
      </c>
      <c r="J592" s="18">
        <f>31675.47+101487.44</f>
        <v>133162.91</v>
      </c>
      <c r="K592" s="104">
        <f t="shared" si="48"/>
        <v>216420.23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56060.4</v>
      </c>
      <c r="K593" s="104">
        <f t="shared" si="48"/>
        <v>56060.4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10737.6</v>
      </c>
      <c r="J594" s="18">
        <v>24793</v>
      </c>
      <c r="K594" s="104">
        <f t="shared" si="48"/>
        <v>35530.6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1856.71</v>
      </c>
      <c r="J595" s="18">
        <v>2507.0700000000002</v>
      </c>
      <c r="K595" s="104">
        <f t="shared" si="48"/>
        <v>4363.7800000000007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228479.15999999997</v>
      </c>
      <c r="I598" s="108">
        <f>SUM(I591:I597)</f>
        <v>104924.14000000001</v>
      </c>
      <c r="J598" s="108">
        <f>SUM(J591:J597)</f>
        <v>296748.09000000003</v>
      </c>
      <c r="K598" s="108">
        <f>SUM(K591:K597)</f>
        <v>630151.39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153794.99+944.3</f>
        <v>154739.28999999998</v>
      </c>
      <c r="I604" s="18">
        <f>91876.79+432.06</f>
        <v>92308.849999999991</v>
      </c>
      <c r="J604" s="18">
        <f>124632.2+523.64</f>
        <v>125155.84</v>
      </c>
      <c r="K604" s="104">
        <f>SUM(H604:J604)</f>
        <v>372203.98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154739.28999999998</v>
      </c>
      <c r="I605" s="108">
        <f>SUM(I602:I604)</f>
        <v>92308.849999999991</v>
      </c>
      <c r="J605" s="108">
        <f>SUM(J602:J604)</f>
        <v>125155.84</v>
      </c>
      <c r="K605" s="108">
        <f>SUM(K602:K604)</f>
        <v>372203.98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36137.85</f>
        <v>36137.85</v>
      </c>
      <c r="G611" s="18">
        <f>2764.55+1356.43</f>
        <v>4120.9800000000005</v>
      </c>
      <c r="H611" s="18"/>
      <c r="I611" s="18">
        <f>231.12</f>
        <v>231.12</v>
      </c>
      <c r="J611" s="18"/>
      <c r="K611" s="18"/>
      <c r="L611" s="88">
        <f>SUM(F611:K611)</f>
        <v>40489.950000000004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16534.7+6720</f>
        <v>23254.7</v>
      </c>
      <c r="G612" s="18">
        <f>1264.9+620.63+514.08</f>
        <v>2399.61</v>
      </c>
      <c r="H612" s="18"/>
      <c r="I612" s="18">
        <f>105.75</f>
        <v>105.75</v>
      </c>
      <c r="J612" s="18"/>
      <c r="K612" s="18"/>
      <c r="L612" s="88">
        <f>SUM(F612:K612)</f>
        <v>25760.06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20039.43+8570.8</f>
        <v>28610.23</v>
      </c>
      <c r="G613" s="18">
        <f>1533.02+752.17+655.67</f>
        <v>2940.86</v>
      </c>
      <c r="H613" s="18"/>
      <c r="I613" s="18">
        <f>128.16</f>
        <v>128.16</v>
      </c>
      <c r="J613" s="18"/>
      <c r="K613" s="18"/>
      <c r="L613" s="88">
        <f>SUM(F613:K613)</f>
        <v>31679.25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88002.78</v>
      </c>
      <c r="G614" s="108">
        <f t="shared" si="49"/>
        <v>9461.4500000000007</v>
      </c>
      <c r="H614" s="108">
        <f t="shared" si="49"/>
        <v>0</v>
      </c>
      <c r="I614" s="108">
        <f t="shared" si="49"/>
        <v>465.03</v>
      </c>
      <c r="J614" s="108">
        <f t="shared" si="49"/>
        <v>0</v>
      </c>
      <c r="K614" s="108">
        <f t="shared" si="49"/>
        <v>0</v>
      </c>
      <c r="L614" s="89">
        <f t="shared" si="49"/>
        <v>97929.260000000009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1550235.0699999998</v>
      </c>
      <c r="H617" s="109">
        <f>SUM(F52)</f>
        <v>1550235.07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650046.9</v>
      </c>
      <c r="H618" s="109">
        <f>SUM(G52)</f>
        <v>650046.9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127624.08</v>
      </c>
      <c r="H619" s="109">
        <f>SUM(H52)</f>
        <v>127624.07999999999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146196.56</v>
      </c>
      <c r="H621" s="109">
        <f>SUM(J52)</f>
        <v>146196.56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655487.31000000006</v>
      </c>
      <c r="H622" s="109">
        <f>F476</f>
        <v>655487.30999999866</v>
      </c>
      <c r="I622" s="121" t="s">
        <v>101</v>
      </c>
      <c r="J622" s="109">
        <f t="shared" ref="J622:J655" si="50">G622-H622</f>
        <v>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58721.14</v>
      </c>
      <c r="H623" s="109">
        <f>G476</f>
        <v>58721.140000000014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16596</v>
      </c>
      <c r="H624" s="109">
        <f>H476</f>
        <v>16596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146196.56</v>
      </c>
      <c r="H626" s="109">
        <f>J476</f>
        <v>146196.56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18174071.559999999</v>
      </c>
      <c r="H627" s="104">
        <f>SUM(F468)</f>
        <v>18174071.559999999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378699.53</v>
      </c>
      <c r="H628" s="104">
        <f>SUM(G468)</f>
        <v>378699.53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472448.39</v>
      </c>
      <c r="H629" s="104">
        <f>SUM(H468)</f>
        <v>472448.39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354.39</v>
      </c>
      <c r="H631" s="104">
        <f>SUM(J468)</f>
        <v>354.39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17930256.370000001</v>
      </c>
      <c r="H632" s="104">
        <f>SUM(F472)</f>
        <v>17930256.370000001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463474.86000000004</v>
      </c>
      <c r="H633" s="104">
        <f>SUM(H472)</f>
        <v>463474.86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144252.6</v>
      </c>
      <c r="H634" s="104">
        <f>I369</f>
        <v>144252.6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393659.63000000006</v>
      </c>
      <c r="H635" s="104">
        <f>SUM(G472)</f>
        <v>393659.63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354.39</v>
      </c>
      <c r="H637" s="164">
        <f>SUM(J468)</f>
        <v>354.39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146196.56</v>
      </c>
      <c r="H639" s="104">
        <f>SUM(F461)</f>
        <v>146196.56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146196.56</v>
      </c>
      <c r="H642" s="104">
        <f>SUM(I461)</f>
        <v>146196.56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354.39</v>
      </c>
      <c r="H644" s="104">
        <f>H408</f>
        <v>354.39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354.39</v>
      </c>
      <c r="H646" s="104">
        <f>L408</f>
        <v>354.39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630151.39</v>
      </c>
      <c r="H647" s="104">
        <f>L208+L226+L244</f>
        <v>630151.39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372203.98</v>
      </c>
      <c r="H648" s="104">
        <f>(J257+J338)-(J255+J336)</f>
        <v>372203.98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228479.15999999997</v>
      </c>
      <c r="H649" s="104">
        <f>H598</f>
        <v>228479.15999999997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104924.14</v>
      </c>
      <c r="H650" s="104">
        <f>I598</f>
        <v>104924.14000000001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296748.09000000003</v>
      </c>
      <c r="H651" s="104">
        <f>J598</f>
        <v>296748.09000000003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7887471.9400000004</v>
      </c>
      <c r="G660" s="19">
        <f>(L229+L309+L359)</f>
        <v>3936607.4199999995</v>
      </c>
      <c r="H660" s="19">
        <f>(L247+L328+L360)</f>
        <v>6046775.3499999987</v>
      </c>
      <c r="I660" s="19">
        <f>SUM(F660:H660)</f>
        <v>17870854.709999997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102873.06933069108</v>
      </c>
      <c r="G661" s="19">
        <f>(L359/IF(SUM(L358:L360)=0,1,SUM(L358:L360))*(SUM(G97:G110)))</f>
        <v>61043.132251349205</v>
      </c>
      <c r="H661" s="19">
        <f>(L360/IF(SUM(L358:L360)=0,1,SUM(L358:L360))*(SUM(G97:G110)))</f>
        <v>74005.418417959692</v>
      </c>
      <c r="I661" s="19">
        <f>SUM(F661:H661)</f>
        <v>237921.62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228479.15999999997</v>
      </c>
      <c r="G662" s="19">
        <f>(L226+L306)-(J226+J306)</f>
        <v>104924.14</v>
      </c>
      <c r="H662" s="19">
        <f>(L244+L325)-(J244+J325)</f>
        <v>296748.09000000003</v>
      </c>
      <c r="I662" s="19">
        <f>SUM(F662:H662)</f>
        <v>630151.39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195229.24</v>
      </c>
      <c r="G663" s="199">
        <f>SUM(G575:G587)+SUM(I602:I604)+L612</f>
        <v>125624.4</v>
      </c>
      <c r="H663" s="199">
        <f>SUM(H575:H587)+SUM(J602:J604)+L613</f>
        <v>702285.52</v>
      </c>
      <c r="I663" s="19">
        <f>SUM(F663:H663)</f>
        <v>1023139.16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7360890.4706693096</v>
      </c>
      <c r="G664" s="19">
        <f>G660-SUM(G661:G663)</f>
        <v>3645015.7477486501</v>
      </c>
      <c r="H664" s="19">
        <f>H660-SUM(H661:H663)</f>
        <v>4973736.3215820389</v>
      </c>
      <c r="I664" s="19">
        <f>I660-SUM(I661:I663)</f>
        <v>15979642.539999997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466.48</v>
      </c>
      <c r="G665" s="248">
        <v>232.51</v>
      </c>
      <c r="H665" s="248">
        <v>274.52</v>
      </c>
      <c r="I665" s="19">
        <f>SUM(F665:H665)</f>
        <v>973.51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15779.65</v>
      </c>
      <c r="G667" s="19">
        <f>ROUND(G664/G665,2)</f>
        <v>15676.81</v>
      </c>
      <c r="H667" s="19">
        <f>ROUND(H664/H665,2)</f>
        <v>18117.939999999999</v>
      </c>
      <c r="I667" s="19">
        <f>ROUND(I664/I665,2)</f>
        <v>16414.46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-17.329999999999998</v>
      </c>
      <c r="I670" s="19">
        <f>SUM(F670:H670)</f>
        <v>-17.329999999999998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15779.65</v>
      </c>
      <c r="G672" s="19">
        <f>ROUND((G664+G669)/(G665+G670),2)</f>
        <v>15676.81</v>
      </c>
      <c r="H672" s="19">
        <f>ROUND((H664+H669)/(H665+H670),2)</f>
        <v>19338.759999999998</v>
      </c>
      <c r="I672" s="19">
        <f>ROUND((I664+I669)/(I665+I670),2)</f>
        <v>16711.96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5" bottom="0.75" header="0.5" footer="0.5"/>
  <pageSetup scale="85" orientation="landscape" r:id="rId1"/>
  <headerFooter alignWithMargins="0">
    <oddHeader xml:space="preserve">&amp;CDOE 25 for 2016-2017
</oddHeader>
    <oddFooter>&amp;L&amp;F&amp;CPage &amp;P&amp;R9/5/2017 12:52 PM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Epping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4102198.61</v>
      </c>
      <c r="C9" s="229">
        <f>'DOE25'!G197+'DOE25'!G215+'DOE25'!G233+'DOE25'!G276+'DOE25'!G295+'DOE25'!G314</f>
        <v>2140086.6800000002</v>
      </c>
    </row>
    <row r="10" spans="1:3" x14ac:dyDescent="0.2">
      <c r="A10" t="s">
        <v>778</v>
      </c>
      <c r="B10" s="240">
        <f>1376209.14+213868+909414.46+1242693.92+10000+10000+8675+2380.1</f>
        <v>3773240.6199999996</v>
      </c>
      <c r="C10" s="240">
        <f>395475.94+70406.34+252162.33+378735.45+15857.25+2077.92+9646.51+15452.6+230455.85+35009.71+133651.4+186900.42+10914.56+7766.86+277414.69+29657.5+53576+8010.06</f>
        <v>2113171.39</v>
      </c>
    </row>
    <row r="11" spans="1:3" x14ac:dyDescent="0.2">
      <c r="A11" t="s">
        <v>779</v>
      </c>
      <c r="B11" s="240">
        <f>93457.38</f>
        <v>93457.38</v>
      </c>
      <c r="C11" s="240">
        <f>7149.49+1500+250</f>
        <v>8899.49</v>
      </c>
    </row>
    <row r="12" spans="1:3" x14ac:dyDescent="0.2">
      <c r="A12" t="s">
        <v>780</v>
      </c>
      <c r="B12" s="240">
        <f>60739.02+29902.84+15562.5+129296.25</f>
        <v>235500.61</v>
      </c>
      <c r="C12" s="240">
        <f>18015.8</f>
        <v>18015.8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4102198.6099999994</v>
      </c>
      <c r="C13" s="231">
        <f>SUM(C10:C12)</f>
        <v>2140086.6800000002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1853847.54</v>
      </c>
      <c r="C18" s="229">
        <f>'DOE25'!G198+'DOE25'!G216+'DOE25'!G234+'DOE25'!G277+'DOE25'!G296+'DOE25'!G315</f>
        <v>747588.29</v>
      </c>
    </row>
    <row r="19" spans="1:3" x14ac:dyDescent="0.2">
      <c r="A19" t="s">
        <v>778</v>
      </c>
      <c r="B19" s="240">
        <f>72711.98+365707+92209.78+146087.47+209625.37+44834+151732.72+10000+8000-0.01</f>
        <v>1100908.31</v>
      </c>
      <c r="C19" s="240">
        <f>177883.7+77340.01+88845.21+89566.24+3908.25+1923.56+2682.55+2312.15+2426.65+50782.45+16195.3+33037.21+29421.84+24546.22+558.12+11556.72+73183.16+3047.89+7048.91+0.02</f>
        <v>696266.16</v>
      </c>
    </row>
    <row r="20" spans="1:3" x14ac:dyDescent="0.2">
      <c r="A20" t="s">
        <v>779</v>
      </c>
      <c r="B20" s="240">
        <f>309537.31+94511.57+191564.03+127763.61+10192.71</f>
        <v>733569.23</v>
      </c>
      <c r="C20" s="240">
        <f>45118.04+302.58+1434.46+779.74+2205.51</f>
        <v>49840.33</v>
      </c>
    </row>
    <row r="21" spans="1:3" x14ac:dyDescent="0.2">
      <c r="A21" t="s">
        <v>780</v>
      </c>
      <c r="B21" s="240">
        <f>19370</f>
        <v>19370</v>
      </c>
      <c r="C21" s="240">
        <v>1481.8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1853847.54</v>
      </c>
      <c r="C22" s="231">
        <f>SUM(C19:C21)</f>
        <v>747588.29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234348.75</v>
      </c>
      <c r="C36" s="235">
        <f>'DOE25'!G200+'DOE25'!G218+'DOE25'!G236+'DOE25'!G279+'DOE25'!G298+'DOE25'!G317</f>
        <v>28717.309999999998</v>
      </c>
    </row>
    <row r="37" spans="1:3" x14ac:dyDescent="0.2">
      <c r="A37" t="s">
        <v>778</v>
      </c>
      <c r="B37" s="240">
        <f>6720+53330+8570.8+345</f>
        <v>68965.8</v>
      </c>
      <c r="C37" s="240">
        <f>3612.6+108.31+871.49+460.66+8334.9+2318.51+177.32</f>
        <v>15883.789999999999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f>234348.75-6720-53330-8570.8-345</f>
        <v>165382.95000000001</v>
      </c>
      <c r="C39" s="240">
        <f>12651.79+181.73</f>
        <v>12833.52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234348.75</v>
      </c>
      <c r="C40" s="231">
        <f>SUM(C37:C39)</f>
        <v>28717.309999999998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Epping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10030658.049999999</v>
      </c>
      <c r="D5" s="20">
        <f>SUM('DOE25'!L197:L200)+SUM('DOE25'!L215:L218)+SUM('DOE25'!L233:L236)-F5-G5</f>
        <v>9952121.6999999974</v>
      </c>
      <c r="E5" s="243"/>
      <c r="F5" s="255">
        <f>SUM('DOE25'!J197:J200)+SUM('DOE25'!J215:J218)+SUM('DOE25'!J233:J236)</f>
        <v>69181.05</v>
      </c>
      <c r="G5" s="53">
        <f>SUM('DOE25'!K197:K200)+SUM('DOE25'!K215:K218)+SUM('DOE25'!K233:K236)</f>
        <v>9355.3000000000011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1358488.36</v>
      </c>
      <c r="D6" s="20">
        <f>'DOE25'!L202+'DOE25'!L220+'DOE25'!L238-F6-G6</f>
        <v>1349742.8900000001</v>
      </c>
      <c r="E6" s="243"/>
      <c r="F6" s="255">
        <f>'DOE25'!J202+'DOE25'!J220+'DOE25'!J238</f>
        <v>8745.4699999999993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1026747.9299999998</v>
      </c>
      <c r="D7" s="20">
        <f>'DOE25'!L203+'DOE25'!L221+'DOE25'!L239-F7-G7</f>
        <v>773724.93999999983</v>
      </c>
      <c r="E7" s="243"/>
      <c r="F7" s="255">
        <f>'DOE25'!J203+'DOE25'!J221+'DOE25'!J239</f>
        <v>252597.97999999998</v>
      </c>
      <c r="G7" s="53">
        <f>'DOE25'!K203+'DOE25'!K221+'DOE25'!K239</f>
        <v>425.01</v>
      </c>
      <c r="H7" s="259"/>
    </row>
    <row r="8" spans="1:9" x14ac:dyDescent="0.2">
      <c r="A8" s="32">
        <v>2300</v>
      </c>
      <c r="B8" t="s">
        <v>801</v>
      </c>
      <c r="C8" s="245">
        <f t="shared" si="0"/>
        <v>586034.77999999991</v>
      </c>
      <c r="D8" s="243"/>
      <c r="E8" s="20">
        <f>'DOE25'!L204+'DOE25'!L222+'DOE25'!L240-F8-G8-D9-D11</f>
        <v>575631.79999999993</v>
      </c>
      <c r="F8" s="255">
        <f>'DOE25'!J204+'DOE25'!J222+'DOE25'!J240</f>
        <v>0</v>
      </c>
      <c r="G8" s="53">
        <f>'DOE25'!K204+'DOE25'!K222+'DOE25'!K240</f>
        <v>10402.98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50904.85</v>
      </c>
      <c r="D9" s="244">
        <v>50904.85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9400</v>
      </c>
      <c r="D10" s="243"/>
      <c r="E10" s="244">
        <v>9400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239688.26</v>
      </c>
      <c r="D11" s="244">
        <v>239688.26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1152128.9000000001</v>
      </c>
      <c r="D12" s="20">
        <f>'DOE25'!L205+'DOE25'!L223+'DOE25'!L241-F12-G12</f>
        <v>1131922.96</v>
      </c>
      <c r="E12" s="243"/>
      <c r="F12" s="255">
        <f>'DOE25'!J205+'DOE25'!J223+'DOE25'!J241</f>
        <v>3959.08</v>
      </c>
      <c r="G12" s="53">
        <f>'DOE25'!K205+'DOE25'!K223+'DOE25'!K241</f>
        <v>16246.859999999999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1950865.5899999999</v>
      </c>
      <c r="D14" s="20">
        <f>'DOE25'!L207+'DOE25'!L225+'DOE25'!L243-F14-G14</f>
        <v>1915045.19</v>
      </c>
      <c r="E14" s="243"/>
      <c r="F14" s="255">
        <f>'DOE25'!J207+'DOE25'!J225+'DOE25'!J243</f>
        <v>35820.400000000001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630151.39</v>
      </c>
      <c r="D15" s="20">
        <f>'DOE25'!L208+'DOE25'!L226+'DOE25'!L244-F15-G15</f>
        <v>630151.39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904588.26</v>
      </c>
      <c r="D25" s="243"/>
      <c r="E25" s="243"/>
      <c r="F25" s="258"/>
      <c r="G25" s="256"/>
      <c r="H25" s="257">
        <f>'DOE25'!L260+'DOE25'!L261+'DOE25'!L341+'DOE25'!L342</f>
        <v>904588.26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264890.56000000006</v>
      </c>
      <c r="D29" s="20">
        <f>'DOE25'!L358+'DOE25'!L359+'DOE25'!L360-'DOE25'!I367-F29-G29</f>
        <v>239771.20000000007</v>
      </c>
      <c r="E29" s="243"/>
      <c r="F29" s="255">
        <f>'DOE25'!J358+'DOE25'!J359+'DOE25'!J360</f>
        <v>22079.86</v>
      </c>
      <c r="G29" s="53">
        <f>'DOE25'!K358+'DOE25'!K359+'DOE25'!K360</f>
        <v>3039.5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451526.97000000003</v>
      </c>
      <c r="D31" s="20">
        <f>'DOE25'!L290+'DOE25'!L309+'DOE25'!L328+'DOE25'!L333+'DOE25'!L334+'DOE25'!L335-F31-G31</f>
        <v>449626.97000000003</v>
      </c>
      <c r="E31" s="243"/>
      <c r="F31" s="255">
        <f>'DOE25'!J290+'DOE25'!J309+'DOE25'!J328+'DOE25'!J333+'DOE25'!J334+'DOE25'!J335</f>
        <v>1900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16732700.349999998</v>
      </c>
      <c r="E33" s="246">
        <f>SUM(E5:E31)</f>
        <v>585031.79999999993</v>
      </c>
      <c r="F33" s="246">
        <f>SUM(F5:F31)</f>
        <v>394283.84</v>
      </c>
      <c r="G33" s="246">
        <f>SUM(G5:G31)</f>
        <v>39469.65</v>
      </c>
      <c r="H33" s="246">
        <f>SUM(H5:H31)</f>
        <v>904588.26</v>
      </c>
    </row>
    <row r="35" spans="2:8" ht="12" thickBot="1" x14ac:dyDescent="0.25">
      <c r="B35" s="253" t="s">
        <v>846</v>
      </c>
      <c r="D35" s="254">
        <f>E33</f>
        <v>585031.79999999993</v>
      </c>
      <c r="E35" s="249"/>
    </row>
    <row r="36" spans="2:8" ht="12" thickTop="1" x14ac:dyDescent="0.2">
      <c r="B36" t="s">
        <v>814</v>
      </c>
      <c r="D36" s="20">
        <f>D33</f>
        <v>16732700.349999998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791687.84</v>
      </c>
      <c r="D8" s="95">
        <f>'DOE25'!G9</f>
        <v>623811.47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146196.56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686049.98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16730.310000000001</v>
      </c>
      <c r="D12" s="95">
        <f>'DOE25'!G13</f>
        <v>14305.03</v>
      </c>
      <c r="E12" s="95">
        <f>'DOE25'!H13</f>
        <v>127624.08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3112.04</v>
      </c>
      <c r="D13" s="95">
        <f>'DOE25'!G14</f>
        <v>3489.36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14136.29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52654.9</v>
      </c>
      <c r="D16" s="95">
        <f>'DOE25'!G17</f>
        <v>1784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-7479.25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1550235.0699999998</v>
      </c>
      <c r="D18" s="41">
        <f>SUM(D8:D17)</f>
        <v>650046.9</v>
      </c>
      <c r="E18" s="41">
        <f>SUM(E8:E17)</f>
        <v>127624.08</v>
      </c>
      <c r="F18" s="41">
        <f>SUM(F8:F17)</f>
        <v>0</v>
      </c>
      <c r="G18" s="41">
        <f>SUM(G8:G17)</f>
        <v>146196.56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8461.11</v>
      </c>
      <c r="D21" s="95">
        <f>'DOE25'!G22</f>
        <v>570992.63</v>
      </c>
      <c r="E21" s="95">
        <f>'DOE25'!H22</f>
        <v>106596.23999999999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1323.3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407718.6</v>
      </c>
      <c r="D23" s="95">
        <f>'DOE25'!G24</f>
        <v>20329.14</v>
      </c>
      <c r="E23" s="95">
        <f>'DOE25'!H24</f>
        <v>157.55000000000001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477244.75000000006</v>
      </c>
      <c r="D27" s="95">
        <f>'DOE25'!G28</f>
        <v>3.99</v>
      </c>
      <c r="E27" s="95">
        <f>'DOE25'!H28</f>
        <v>4274.29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894747.76</v>
      </c>
      <c r="D31" s="41">
        <f>SUM(D21:D30)</f>
        <v>591325.76</v>
      </c>
      <c r="E31" s="41">
        <f>SUM(E21:E30)</f>
        <v>111028.07999999999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58721.14</v>
      </c>
      <c r="E47" s="95">
        <f>'DOE25'!H48</f>
        <v>16596</v>
      </c>
      <c r="F47" s="95">
        <f>'DOE25'!I48</f>
        <v>0</v>
      </c>
      <c r="G47" s="95">
        <f>'DOE25'!J48</f>
        <v>146196.56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305487.31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655487.31000000006</v>
      </c>
      <c r="D50" s="41">
        <f>SUM(D34:D49)</f>
        <v>58721.14</v>
      </c>
      <c r="E50" s="41">
        <f>SUM(E34:E49)</f>
        <v>16596</v>
      </c>
      <c r="F50" s="41">
        <f>SUM(F34:F49)</f>
        <v>0</v>
      </c>
      <c r="G50" s="41">
        <f>SUM(G34:G49)</f>
        <v>146196.56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1550235.07</v>
      </c>
      <c r="D51" s="41">
        <f>D50+D31</f>
        <v>650046.9</v>
      </c>
      <c r="E51" s="41">
        <f>E50+E31</f>
        <v>127624.07999999999</v>
      </c>
      <c r="F51" s="41">
        <f>F50+F31</f>
        <v>0</v>
      </c>
      <c r="G51" s="41">
        <f>G50+G31</f>
        <v>146196.56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12337410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137649.42000000001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354.39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237921.62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138851.01</v>
      </c>
      <c r="D61" s="95">
        <f>SUM('DOE25'!G98:G110)</f>
        <v>0</v>
      </c>
      <c r="E61" s="95">
        <f>SUM('DOE25'!H98:H110)</f>
        <v>7000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276500.43000000005</v>
      </c>
      <c r="D62" s="130">
        <f>SUM(D57:D61)</f>
        <v>237921.62</v>
      </c>
      <c r="E62" s="130">
        <f>SUM(E57:E61)</f>
        <v>7000</v>
      </c>
      <c r="F62" s="130">
        <f>SUM(F57:F61)</f>
        <v>0</v>
      </c>
      <c r="G62" s="130">
        <f>SUM(G57:G61)</f>
        <v>354.39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12613910.43</v>
      </c>
      <c r="D63" s="22">
        <f>D56+D62</f>
        <v>237921.62</v>
      </c>
      <c r="E63" s="22">
        <f>E56+E62</f>
        <v>7000</v>
      </c>
      <c r="F63" s="22">
        <f>F56+F62</f>
        <v>0</v>
      </c>
      <c r="G63" s="22">
        <f>G56+G62</f>
        <v>354.39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3268502.51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1598161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9253.6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4875917.1099999994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255874.6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251229.32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11558.4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5170.8900000000003</v>
      </c>
      <c r="E77" s="95">
        <f>SUM('DOE25'!H131:H135)</f>
        <v>18861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518662.32000000007</v>
      </c>
      <c r="D78" s="130">
        <f>SUM(D72:D77)</f>
        <v>5170.8900000000003</v>
      </c>
      <c r="E78" s="130">
        <f>SUM(E72:E77)</f>
        <v>18861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5394579.4299999997</v>
      </c>
      <c r="D81" s="130">
        <f>SUM(D79:D80)+D78+D70</f>
        <v>5170.8900000000003</v>
      </c>
      <c r="E81" s="130">
        <f>SUM(E79:E80)+E78+E70</f>
        <v>18861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165581.70000000001</v>
      </c>
      <c r="D88" s="95">
        <f>SUM('DOE25'!G153:G161)</f>
        <v>135607.01999999999</v>
      </c>
      <c r="E88" s="95">
        <f>SUM('DOE25'!H153:H161)</f>
        <v>446587.39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165581.70000000001</v>
      </c>
      <c r="D91" s="131">
        <f>SUM(D85:D90)</f>
        <v>135607.01999999999</v>
      </c>
      <c r="E91" s="131">
        <f>SUM(E85:E90)</f>
        <v>446587.39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18174071.559999999</v>
      </c>
      <c r="D104" s="86">
        <f>D63+D81+D91+D103</f>
        <v>378699.53</v>
      </c>
      <c r="E104" s="86">
        <f>E63+E81+E91+E103</f>
        <v>472448.39</v>
      </c>
      <c r="F104" s="86">
        <f>F63+F81+F91+F103</f>
        <v>0</v>
      </c>
      <c r="G104" s="86">
        <f>G63+G81+G103</f>
        <v>354.39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6370517.709999999</v>
      </c>
      <c r="D109" s="24" t="s">
        <v>288</v>
      </c>
      <c r="E109" s="95">
        <f>('DOE25'!L276)+('DOE25'!L295)+('DOE25'!L314)</f>
        <v>129682.24000000001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3138950.9200000004</v>
      </c>
      <c r="D110" s="24" t="s">
        <v>288</v>
      </c>
      <c r="E110" s="95">
        <f>('DOE25'!L277)+('DOE25'!L296)+('DOE25'!L315)</f>
        <v>165189.43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122359.05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398830.37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10030658.049999999</v>
      </c>
      <c r="D115" s="86">
        <f>SUM(D109:D114)</f>
        <v>0</v>
      </c>
      <c r="E115" s="86">
        <f>SUM(E109:E114)</f>
        <v>294871.67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1358488.36</v>
      </c>
      <c r="D118" s="24" t="s">
        <v>288</v>
      </c>
      <c r="E118" s="95">
        <f>+('DOE25'!L281)+('DOE25'!L300)+('DOE25'!L319)</f>
        <v>16188.46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1026747.9299999998</v>
      </c>
      <c r="D119" s="24" t="s">
        <v>288</v>
      </c>
      <c r="E119" s="95">
        <f>+('DOE25'!L282)+('DOE25'!L301)+('DOE25'!L320)</f>
        <v>131483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876627.8899999999</v>
      </c>
      <c r="D120" s="24" t="s">
        <v>288</v>
      </c>
      <c r="E120" s="95">
        <f>+('DOE25'!L283)+('DOE25'!L302)+('DOE25'!L321)</f>
        <v>8983.84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1152128.9000000001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1950865.5899999999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630151.39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393659.63000000006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6995010.0599999996</v>
      </c>
      <c r="D128" s="86">
        <f>SUM(D118:D127)</f>
        <v>393659.63000000006</v>
      </c>
      <c r="E128" s="86">
        <f>SUM(E118:E127)</f>
        <v>156655.29999999999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299588.26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11947.89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354.39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-354.39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904588.26</v>
      </c>
      <c r="D144" s="141">
        <f>SUM(D130:D143)</f>
        <v>0</v>
      </c>
      <c r="E144" s="141">
        <f>SUM(E130:E143)</f>
        <v>11947.89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17930256.370000001</v>
      </c>
      <c r="D145" s="86">
        <f>(D115+D128+D144)</f>
        <v>393659.63000000006</v>
      </c>
      <c r="E145" s="86">
        <f>(E115+E128+E144)</f>
        <v>463474.86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12072350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7435000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7435000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605000</v>
      </c>
    </row>
    <row r="159" spans="1:9" x14ac:dyDescent="0.2">
      <c r="A159" s="22" t="s">
        <v>35</v>
      </c>
      <c r="B159" s="137">
        <f>'DOE25'!F498</f>
        <v>6830000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6830000</v>
      </c>
    </row>
    <row r="160" spans="1:9" x14ac:dyDescent="0.2">
      <c r="A160" s="22" t="s">
        <v>36</v>
      </c>
      <c r="B160" s="137">
        <f>'DOE25'!F499</f>
        <v>1071776.1499999999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1071776.1499999999</v>
      </c>
    </row>
    <row r="161" spans="1:7" x14ac:dyDescent="0.2">
      <c r="A161" s="22" t="s">
        <v>37</v>
      </c>
      <c r="B161" s="137">
        <f>'DOE25'!F500</f>
        <v>7901776.1500000004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7901776.1500000004</v>
      </c>
    </row>
    <row r="162" spans="1:7" x14ac:dyDescent="0.2">
      <c r="A162" s="22" t="s">
        <v>38</v>
      </c>
      <c r="B162" s="137">
        <f>'DOE25'!F501</f>
        <v>635000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635000</v>
      </c>
    </row>
    <row r="163" spans="1:7" x14ac:dyDescent="0.2">
      <c r="A163" s="22" t="s">
        <v>39</v>
      </c>
      <c r="B163" s="137">
        <f>'DOE25'!F502</f>
        <v>268588.26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268588.26</v>
      </c>
    </row>
    <row r="164" spans="1:7" x14ac:dyDescent="0.2">
      <c r="A164" s="22" t="s">
        <v>246</v>
      </c>
      <c r="B164" s="137">
        <f>'DOE25'!F503</f>
        <v>903588.26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903588.26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&amp;P&amp;R9/5/2017 12:58 PM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Epping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15780</v>
      </c>
    </row>
    <row r="5" spans="1:4" x14ac:dyDescent="0.2">
      <c r="B5" t="s">
        <v>703</v>
      </c>
      <c r="C5" s="179">
        <f>IF('DOE25'!G665+'DOE25'!G670=0,0,ROUND('DOE25'!G672,0))</f>
        <v>15677</v>
      </c>
    </row>
    <row r="6" spans="1:4" x14ac:dyDescent="0.2">
      <c r="B6" t="s">
        <v>62</v>
      </c>
      <c r="C6" s="179">
        <f>IF('DOE25'!H665+'DOE25'!H670=0,0,ROUND('DOE25'!H672,0))</f>
        <v>19339</v>
      </c>
    </row>
    <row r="7" spans="1:4" x14ac:dyDescent="0.2">
      <c r="B7" t="s">
        <v>704</v>
      </c>
      <c r="C7" s="179">
        <f>IF('DOE25'!I665+'DOE25'!I670=0,0,ROUND('DOE25'!I672,0))</f>
        <v>16712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6500200</v>
      </c>
      <c r="D10" s="182">
        <f>ROUND((C10/$C$28)*100,1)</f>
        <v>36.200000000000003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3304140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122359</v>
      </c>
      <c r="D12" s="182">
        <f>ROUND((C12/$C$28)*100,1)</f>
        <v>0.7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398830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1374677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1158231</v>
      </c>
      <c r="D16" s="182">
        <f t="shared" si="0"/>
        <v>6.5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885612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1152129</v>
      </c>
      <c r="D18" s="182">
        <f t="shared" si="0"/>
        <v>6.4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1950866</v>
      </c>
      <c r="D20" s="182">
        <f t="shared" si="0"/>
        <v>10.9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630151</v>
      </c>
      <c r="D21" s="182">
        <f t="shared" si="0"/>
        <v>3.5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299588</v>
      </c>
      <c r="D25" s="182">
        <f t="shared" si="0"/>
        <v>1.7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155738.38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17932521.379999999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17932521.379999999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12337410</v>
      </c>
      <c r="D35" s="182">
        <f t="shared" ref="D35:D40" si="1">ROUND((C35/$C$41)*100,1)</f>
        <v>65.7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283854.8200000003</v>
      </c>
      <c r="D36" s="182">
        <f t="shared" si="1"/>
        <v>1.5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4866664</v>
      </c>
      <c r="D37" s="182">
        <f t="shared" si="1"/>
        <v>25.9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551948</v>
      </c>
      <c r="D38" s="182">
        <f t="shared" si="1"/>
        <v>2.9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747776</v>
      </c>
      <c r="D39" s="182">
        <f t="shared" si="1"/>
        <v>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18787652.82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Epping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2017-09-28T17:31:57Z</cp:lastPrinted>
  <dcterms:created xsi:type="dcterms:W3CDTF">1997-12-04T19:04:30Z</dcterms:created>
  <dcterms:modified xsi:type="dcterms:W3CDTF">2017-11-29T17:21:04Z</dcterms:modified>
</cp:coreProperties>
</file>