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5200" windowHeight="116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C19" i="10" s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C12" i="10" s="1"/>
  <c r="L200" i="1"/>
  <c r="L215" i="1"/>
  <c r="L216" i="1"/>
  <c r="L229" i="1" s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C18" i="10" s="1"/>
  <c r="L241" i="1"/>
  <c r="D12" i="13" s="1"/>
  <c r="C12" i="13" s="1"/>
  <c r="F14" i="13"/>
  <c r="G14" i="13"/>
  <c r="L207" i="1"/>
  <c r="L225" i="1"/>
  <c r="D14" i="13" s="1"/>
  <c r="C14" i="13" s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E112" i="2" s="1"/>
  <c r="L281" i="1"/>
  <c r="E118" i="2" s="1"/>
  <c r="L282" i="1"/>
  <c r="L283" i="1"/>
  <c r="L284" i="1"/>
  <c r="E121" i="2" s="1"/>
  <c r="L285" i="1"/>
  <c r="E122" i="2" s="1"/>
  <c r="L286" i="1"/>
  <c r="L287" i="1"/>
  <c r="L288" i="1"/>
  <c r="E125" i="2" s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H162" i="1"/>
  <c r="H169" i="1" s="1"/>
  <c r="I147" i="1"/>
  <c r="I162" i="1"/>
  <c r="C11" i="10"/>
  <c r="C16" i="10"/>
  <c r="C20" i="10"/>
  <c r="L250" i="1"/>
  <c r="L332" i="1"/>
  <c r="L254" i="1"/>
  <c r="L268" i="1"/>
  <c r="L269" i="1"/>
  <c r="C143" i="2" s="1"/>
  <c r="L349" i="1"/>
  <c r="L350" i="1"/>
  <c r="E143" i="2" s="1"/>
  <c r="I665" i="1"/>
  <c r="I670" i="1"/>
  <c r="G661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K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C113" i="2"/>
  <c r="E113" i="2"/>
  <c r="C114" i="2"/>
  <c r="D115" i="2"/>
  <c r="F115" i="2"/>
  <c r="G115" i="2"/>
  <c r="C119" i="2"/>
  <c r="E119" i="2"/>
  <c r="E120" i="2"/>
  <c r="C121" i="2"/>
  <c r="C123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G620" i="1" s="1"/>
  <c r="F32" i="1"/>
  <c r="F52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57" i="1"/>
  <c r="F271" i="1" s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J645" i="1" s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H461" i="1" s="1"/>
  <c r="H641" i="1" s="1"/>
  <c r="I460" i="1"/>
  <c r="I461" i="1" s="1"/>
  <c r="H642" i="1" s="1"/>
  <c r="F461" i="1"/>
  <c r="F470" i="1"/>
  <c r="G470" i="1"/>
  <c r="H470" i="1"/>
  <c r="I470" i="1"/>
  <c r="I476" i="1" s="1"/>
  <c r="H625" i="1" s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F571" i="1" s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G641" i="1"/>
  <c r="J641" i="1" s="1"/>
  <c r="G643" i="1"/>
  <c r="J643" i="1" s="1"/>
  <c r="H643" i="1"/>
  <c r="G644" i="1"/>
  <c r="G645" i="1"/>
  <c r="G650" i="1"/>
  <c r="G651" i="1"/>
  <c r="J651" i="1" s="1"/>
  <c r="G652" i="1"/>
  <c r="H652" i="1"/>
  <c r="G653" i="1"/>
  <c r="H653" i="1"/>
  <c r="G654" i="1"/>
  <c r="H654" i="1"/>
  <c r="H655" i="1"/>
  <c r="J655" i="1" s="1"/>
  <c r="F192" i="1"/>
  <c r="I257" i="1"/>
  <c r="L328" i="1"/>
  <c r="A31" i="12"/>
  <c r="D62" i="2"/>
  <c r="D63" i="2" s="1"/>
  <c r="D18" i="2"/>
  <c r="C78" i="2"/>
  <c r="D50" i="2"/>
  <c r="G161" i="2"/>
  <c r="G62" i="2"/>
  <c r="D29" i="13"/>
  <c r="C29" i="13" s="1"/>
  <c r="D19" i="13"/>
  <c r="C19" i="13" s="1"/>
  <c r="E78" i="2"/>
  <c r="H112" i="1"/>
  <c r="L419" i="1"/>
  <c r="I169" i="1"/>
  <c r="G476" i="1"/>
  <c r="H623" i="1" s="1"/>
  <c r="J623" i="1" s="1"/>
  <c r="G338" i="1"/>
  <c r="G352" i="1" s="1"/>
  <c r="J140" i="1"/>
  <c r="K550" i="1"/>
  <c r="G22" i="2"/>
  <c r="J552" i="1"/>
  <c r="H140" i="1"/>
  <c r="F22" i="13"/>
  <c r="C22" i="13" s="1"/>
  <c r="F338" i="1"/>
  <c r="F352" i="1" s="1"/>
  <c r="H192" i="1"/>
  <c r="D5" i="13"/>
  <c r="C5" i="13" s="1"/>
  <c r="L570" i="1"/>
  <c r="G36" i="2"/>
  <c r="H545" i="1"/>
  <c r="H552" i="1" l="1"/>
  <c r="G552" i="1"/>
  <c r="G545" i="1"/>
  <c r="F552" i="1"/>
  <c r="J639" i="1"/>
  <c r="I446" i="1"/>
  <c r="G642" i="1" s="1"/>
  <c r="J642" i="1" s="1"/>
  <c r="H408" i="1"/>
  <c r="H644" i="1" s="1"/>
  <c r="J644" i="1" s="1"/>
  <c r="J640" i="1"/>
  <c r="H476" i="1"/>
  <c r="H624" i="1" s="1"/>
  <c r="J624" i="1" s="1"/>
  <c r="F476" i="1"/>
  <c r="H622" i="1" s="1"/>
  <c r="J622" i="1" s="1"/>
  <c r="J634" i="1"/>
  <c r="D127" i="2"/>
  <c r="D128" i="2" s="1"/>
  <c r="C26" i="10"/>
  <c r="L270" i="1"/>
  <c r="G257" i="1"/>
  <c r="G271" i="1" s="1"/>
  <c r="J257" i="1"/>
  <c r="J271" i="1" s="1"/>
  <c r="L247" i="1"/>
  <c r="H660" i="1" s="1"/>
  <c r="H664" i="1" s="1"/>
  <c r="H257" i="1"/>
  <c r="H271" i="1" s="1"/>
  <c r="L211" i="1"/>
  <c r="K257" i="1"/>
  <c r="K271" i="1" s="1"/>
  <c r="C91" i="2"/>
  <c r="C70" i="2"/>
  <c r="F60" i="1"/>
  <c r="D31" i="2"/>
  <c r="H617" i="1"/>
  <c r="J617" i="1" s="1"/>
  <c r="H52" i="1"/>
  <c r="H619" i="1" s="1"/>
  <c r="C18" i="2"/>
  <c r="C16" i="13"/>
  <c r="E128" i="2"/>
  <c r="E115" i="2"/>
  <c r="E8" i="13"/>
  <c r="C8" i="13" s="1"/>
  <c r="L539" i="1"/>
  <c r="L382" i="1"/>
  <c r="G636" i="1" s="1"/>
  <c r="J636" i="1" s="1"/>
  <c r="F661" i="1"/>
  <c r="I661" i="1" s="1"/>
  <c r="C15" i="10"/>
  <c r="C10" i="10"/>
  <c r="C81" i="2"/>
  <c r="L290" i="1"/>
  <c r="F660" i="1" s="1"/>
  <c r="K503" i="1"/>
  <c r="K352" i="1"/>
  <c r="C62" i="2"/>
  <c r="C29" i="10"/>
  <c r="D6" i="13"/>
  <c r="C6" i="13" s="1"/>
  <c r="D15" i="13"/>
  <c r="C15" i="13" s="1"/>
  <c r="G649" i="1"/>
  <c r="J649" i="1" s="1"/>
  <c r="L544" i="1"/>
  <c r="L524" i="1"/>
  <c r="J338" i="1"/>
  <c r="J352" i="1" s="1"/>
  <c r="C124" i="2"/>
  <c r="C122" i="2"/>
  <c r="C120" i="2"/>
  <c r="C111" i="2"/>
  <c r="C115" i="2" s="1"/>
  <c r="F662" i="1"/>
  <c r="I662" i="1" s="1"/>
  <c r="C13" i="10"/>
  <c r="D145" i="2"/>
  <c r="E13" i="13"/>
  <c r="C13" i="13" s="1"/>
  <c r="I271" i="1"/>
  <c r="K551" i="1"/>
  <c r="K552" i="1" s="1"/>
  <c r="H25" i="13"/>
  <c r="F169" i="1"/>
  <c r="E81" i="2"/>
  <c r="L351" i="1"/>
  <c r="H647" i="1"/>
  <c r="J647" i="1" s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G140" i="1"/>
  <c r="F140" i="1"/>
  <c r="G63" i="2"/>
  <c r="J618" i="1"/>
  <c r="G667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C27" i="10"/>
  <c r="G635" i="1"/>
  <c r="J635" i="1" s="1"/>
  <c r="H646" i="1" l="1"/>
  <c r="E145" i="2"/>
  <c r="H667" i="1"/>
  <c r="H672" i="1"/>
  <c r="C6" i="10" s="1"/>
  <c r="L257" i="1"/>
  <c r="L271" i="1" s="1"/>
  <c r="G632" i="1" s="1"/>
  <c r="J632" i="1" s="1"/>
  <c r="I660" i="1"/>
  <c r="I664" i="1" s="1"/>
  <c r="I672" i="1" s="1"/>
  <c r="C7" i="10" s="1"/>
  <c r="C128" i="2"/>
  <c r="C145" i="2" s="1"/>
  <c r="C39" i="10"/>
  <c r="F112" i="1"/>
  <c r="F193" i="1" s="1"/>
  <c r="G627" i="1" s="1"/>
  <c r="J627" i="1" s="1"/>
  <c r="C35" i="10"/>
  <c r="C36" i="10" s="1"/>
  <c r="C56" i="2"/>
  <c r="C63" i="2"/>
  <c r="C104" i="2" s="1"/>
  <c r="C25" i="13"/>
  <c r="H33" i="13"/>
  <c r="D31" i="13"/>
  <c r="C31" i="13" s="1"/>
  <c r="L545" i="1"/>
  <c r="C28" i="10"/>
  <c r="D23" i="10" s="1"/>
  <c r="H648" i="1"/>
  <c r="J648" i="1" s="1"/>
  <c r="G104" i="2"/>
  <c r="F664" i="1"/>
  <c r="E33" i="13"/>
  <c r="D35" i="13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10" i="10" l="1"/>
  <c r="D20" i="10"/>
  <c r="D15" i="10"/>
  <c r="D19" i="10"/>
  <c r="D13" i="10"/>
  <c r="D11" i="10"/>
  <c r="D21" i="10"/>
  <c r="D22" i="10"/>
  <c r="D26" i="10"/>
  <c r="D27" i="10"/>
  <c r="D18" i="10"/>
  <c r="D17" i="10"/>
  <c r="D12" i="10"/>
  <c r="D24" i="10"/>
  <c r="C30" i="10"/>
  <c r="D16" i="10"/>
  <c r="D25" i="10"/>
  <c r="D33" i="13"/>
  <c r="D36" i="13" s="1"/>
  <c r="F672" i="1"/>
  <c r="C4" i="10" s="1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<sst xmlns="http://schemas.openxmlformats.org/spreadsheetml/2006/main" count="3955" uniqueCount="913">
  <si>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</si>
  <si>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</si>
  <si>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</si>
  <si>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</si>
  <si>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</si>
  <si>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</si>
  <si>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</si>
  <si>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</si>
  <si>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</si>
  <si>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</si>
  <si>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</si>
  <si>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</si>
  <si>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</si>
  <si>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</si>
  <si>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</si>
  <si>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</si>
  <si>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</si>
  <si>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</si>
  <si>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</si>
  <si>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</si>
  <si>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</si>
  <si>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</si>
  <si>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</si>
  <si>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</si>
  <si>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</si>
  <si>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</si>
  <si>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</si>
  <si>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</si>
  <si>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</si>
  <si>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</si>
  <si>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</si>
  <si>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</si>
  <si>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</si>
  <si>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</si>
  <si>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</si>
  <si>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</si>
  <si>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</si>
  <si>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</si>
  <si>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</si>
  <si>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</si>
  <si>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</si>
  <si>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</si>
  <si>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</si>
  <si>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</si>
  <si>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</si>
  <si>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</si>
  <si>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</si>
  <si>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</si>
  <si>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</si>
  <si>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</si>
  <si>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</si>
  <si>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</si>
  <si>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</si>
  <si>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</si>
  <si>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</si>
  <si>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</si>
  <si>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</si>
  <si>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</si>
  <si>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</si>
  <si>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</si>
  <si>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</si>
  <si>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</si>
  <si>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</si>
  <si>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</si>
  <si>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</si>
  <si>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</si>
  <si>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</si>
  <si>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</si>
  <si>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</si>
  <si>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</si>
  <si>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</si>
  <si>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</si>
  <si>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</si>
  <si>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</si>
  <si>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</si>
  <si>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</si>
  <si>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</si>
  <si>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</si>
  <si>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</si>
  <si>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</si>
  <si>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</si>
  <si>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</si>
  <si>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</si>
  <si>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</si>
  <si>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</si>
  <si>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</si>
  <si>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</si>
  <si>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</si>
  <si>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</si>
  <si>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</si>
  <si>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</si>
  <si>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</si>
  <si>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</si>
  <si>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</si>
  <si>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</si>
  <si>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</si>
  <si>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</si>
  <si>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</si>
  <si>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</si>
  <si>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</si>
  <si>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</si>
  <si>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</si>
  <si>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</si>
  <si>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</si>
  <si>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</si>
  <si>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</si>
  <si>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</si>
  <si>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</si>
  <si>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</si>
  <si>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</si>
  <si>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</si>
  <si>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</si>
  <si>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</si>
  <si>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</si>
  <si>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</si>
  <si>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</si>
  <si>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</si>
  <si>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</si>
  <si>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</si>
  <si>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</si>
  <si>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</si>
  <si>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</si>
  <si>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</si>
  <si>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</si>
  <si>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</si>
  <si>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</si>
  <si>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</si>
  <si>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</si>
  <si>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</si>
  <si>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</si>
  <si>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</si>
  <si>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</si>
  <si>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</si>
  <si>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</si>
  <si>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</si>
  <si>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</si>
  <si>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</si>
  <si>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</si>
  <si>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</si>
  <si>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</si>
  <si>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</si>
  <si>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</si>
  <si>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</si>
  <si>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</si>
  <si>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</si>
  <si>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</si>
  <si>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</si>
  <si>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</si>
  <si>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</si>
  <si>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</si>
  <si>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</si>
  <si>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</si>
  <si>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</si>
  <si>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</si>
  <si>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</si>
  <si>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</si>
  <si>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</si>
  <si>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</si>
  <si>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</si>
  <si>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</si>
  <si>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</si>
  <si>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</si>
  <si>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</si>
  <si>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</si>
  <si>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</si>
  <si>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</si>
  <si>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</si>
  <si>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</si>
  <si>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</si>
  <si>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</si>
  <si>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</si>
  <si>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</si>
  <si>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</si>
  <si>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</si>
  <si>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</si>
  <si>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</si>
  <si>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</si>
  <si>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</si>
  <si>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</si>
  <si>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</si>
  <si>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</si>
  <si>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</si>
  <si>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</si>
  <si>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</si>
  <si>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</si>
  <si>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</si>
  <si>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</si>
  <si>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</si>
  <si>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</si>
  <si>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</si>
  <si>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</si>
  <si>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</si>
  <si>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</si>
  <si>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</si>
  <si>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</si>
  <si>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</si>
  <si>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</si>
  <si>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</si>
  <si>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</si>
  <si>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</si>
  <si>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</si>
  <si>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</si>
  <si>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</si>
  <si>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</si>
  <si>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</si>
  <si>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</si>
  <si>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</si>
  <si>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</si>
  <si>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</si>
  <si>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</si>
  <si>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</si>
  <si>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</si>
  <si>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</si>
  <si>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</si>
  <si>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</si>
  <si>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</si>
  <si>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</si>
  <si>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</si>
  <si>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</si>
  <si>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</si>
  <si>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</si>
  <si>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</si>
  <si>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</si>
  <si>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</si>
  <si>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</si>
  <si>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</si>
  <si>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</si>
  <si>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</si>
  <si>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</si>
  <si>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</si>
  <si>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</si>
  <si>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</si>
  <si>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</si>
  <si>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</si>
  <si>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</si>
  <si>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</si>
  <si>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</si>
  <si>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</si>
  <si>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</si>
  <si>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</si>
  <si>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</si>
  <si>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</si>
  <si>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</si>
  <si>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</si>
  <si>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</si>
  <si>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</si>
  <si>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</si>
  <si>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</si>
  <si>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</si>
  <si>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</si>
  <si>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</si>
  <si>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</si>
  <si>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</si>
  <si>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</si>
  <si>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</si>
  <si>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</si>
  <si>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</si>
  <si>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</si>
  <si>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</si>
  <si>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</si>
  <si>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</si>
  <si>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</si>
  <si>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</si>
  <si>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</si>
  <si>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</si>
  <si>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</si>
  <si>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</si>
  <si>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</si>
  <si>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</si>
  <si>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</si>
  <si>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</si>
  <si>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</si>
  <si>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</si>
  <si>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</si>
  <si>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</si>
  <si>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</si>
  <si>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</si>
  <si>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</si>
  <si>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</si>
  <si>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</si>
  <si>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</si>
  <si>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</si>
  <si>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</si>
  <si>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</si>
  <si>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</si>
  <si>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</si>
  <si>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</si>
  <si>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</si>
  <si>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</si>
  <si>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</si>
  <si>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</si>
  <si>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</si>
  <si>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</si>
  <si>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</si>
  <si>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</si>
  <si>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</si>
  <si>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</si>
  <si>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</si>
  <si>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</si>
  <si>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</si>
  <si>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</si>
  <si>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</si>
  <si>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</si>
  <si>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</si>
  <si>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</si>
  <si>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</si>
  <si>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</si>
  <si>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</si>
  <si>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</si>
  <si>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</si>
  <si>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</si>
  <si>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</si>
  <si>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</si>
  <si>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</si>
  <si>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</si>
  <si>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</si>
  <si>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</si>
  <si>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</si>
  <si>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</si>
  <si>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</si>
  <si>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</si>
  <si>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</si>
  <si>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</si>
  <si>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</si>
  <si>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</si>
  <si>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</si>
  <si>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</si>
  <si>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</si>
  <si>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</si>
  <si>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</si>
  <si>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</si>
  <si>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</si>
  <si>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</si>
  <si>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</si>
  <si>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</si>
  <si>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</si>
  <si>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</si>
  <si>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</si>
  <si>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</si>
  <si>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</si>
  <si>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</si>
  <si>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</si>
  <si>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</si>
  <si>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</si>
  <si>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</si>
  <si>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</si>
  <si>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</si>
  <si>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</si>
  <si>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</si>
  <si>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</si>
  <si>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</si>
  <si>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</si>
  <si>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</si>
  <si>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</si>
  <si>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</si>
  <si>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</si>
  <si>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</si>
  <si>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</si>
  <si>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</si>
  <si>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</si>
  <si>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</si>
  <si>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</si>
  <si>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</si>
  <si>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</si>
  <si>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</si>
  <si>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</si>
  <si>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</si>
  <si>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</si>
  <si>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</si>
  <si>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</si>
  <si>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</si>
  <si>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</si>
  <si>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</si>
  <si>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</si>
  <si>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</si>
  <si>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</si>
  <si>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</si>
  <si>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</si>
  <si>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</si>
  <si>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</si>
  <si>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</si>
  <si>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</si>
  <si>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</si>
  <si>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</si>
  <si>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</si>
  <si>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</si>
  <si>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</si>
  <si>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</si>
  <si>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</si>
  <si>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</si>
  <si>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</si>
  <si>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</si>
  <si>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</si>
  <si>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</si>
  <si>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</si>
  <si>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</si>
  <si>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</si>
  <si>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</si>
  <si>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</si>
  <si>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</si>
  <si>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</si>
  <si>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</si>
  <si>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</si>
  <si>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</si>
  <si>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</si>
  <si>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</si>
  <si>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</si>
  <si>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</si>
  <si>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</si>
  <si>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</si>
  <si>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</si>
  <si>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</si>
  <si>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</si>
  <si>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</si>
  <si>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</si>
  <si>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</si>
  <si>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</si>
  <si>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</si>
  <si>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</si>
  <si>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</si>
  <si>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</si>
  <si>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</si>
  <si>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</si>
  <si>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</si>
  <si>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</si>
  <si>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</si>
  <si>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</si>
  <si>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</si>
  <si>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</si>
  <si>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</si>
  <si>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</si>
  <si>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</si>
  <si>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</si>
  <si>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</si>
  <si>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</si>
  <si>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</si>
  <si>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</si>
  <si>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</si>
  <si>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</si>
  <si>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</si>
  <si>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</si>
  <si>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</si>
  <si>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</si>
  <si>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</si>
  <si>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</si>
  <si>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</si>
  <si>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</si>
  <si>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</si>
  <si>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</si>
  <si>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</si>
  <si>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</si>
  <si>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</si>
  <si>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</si>
  <si>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</si>
  <si>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</si>
  <si>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</si>
  <si>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</si>
  <si>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</si>
  <si>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</si>
  <si>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</si>
  <si>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</si>
  <si>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</si>
  <si>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</si>
  <si>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</si>
  <si>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</si>
  <si>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</si>
  <si>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</si>
  <si>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</si>
  <si>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</si>
  <si>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</si>
  <si>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</si>
  <si>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</si>
  <si>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</si>
  <si>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</si>
  <si>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</si>
  <si>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</si>
  <si>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</si>
  <si>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</si>
  <si>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</si>
  <si>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</si>
  <si>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</si>
  <si>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</si>
  <si>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</si>
  <si>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</si>
  <si>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</si>
  <si>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</si>
  <si>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</si>
  <si>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</si>
  <si>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</si>
  <si>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</si>
  <si>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</si>
  <si>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</si>
  <si>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</si>
  <si>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</si>
  <si>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</si>
  <si>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</si>
  <si>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</si>
  <si>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</si>
  <si>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</si>
  <si>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</si>
  <si>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</si>
  <si>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</si>
  <si>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</si>
  <si>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</si>
  <si>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</si>
  <si>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</si>
  <si>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</si>
  <si>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</si>
  <si>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</si>
  <si>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</si>
  <si>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</si>
  <si>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</si>
  <si>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</si>
  <si>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</si>
  <si>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</si>
  <si>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</si>
  <si>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</si>
  <si>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</si>
  <si>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</si>
  <si>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</si>
  <si>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</si>
  <si>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</si>
  <si>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</si>
  <si>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</si>
  <si>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</si>
  <si>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</si>
  <si>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</si>
  <si>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</si>
  <si>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</si>
  <si>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</si>
  <si>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</si>
  <si>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</si>
  <si>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</si>
  <si>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</si>
  <si>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</si>
  <si>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</si>
  <si>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</si>
  <si>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</si>
  <si>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</si>
  <si>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</si>
  <si>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</si>
  <si>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</si>
  <si>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</si>
  <si>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</si>
  <si>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</si>
  <si>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</si>
  <si>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</si>
  <si>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</si>
  <si>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</si>
  <si>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</si>
  <si>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</si>
  <si>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</si>
  <si>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</si>
  <si>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</si>
  <si>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</si>
  <si>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</si>
  <si>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</si>
  <si>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</si>
  <si>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</si>
  <si>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</si>
  <si>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</si>
  <si>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</si>
  <si>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</si>
  <si>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</si>
  <si>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</si>
  <si>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</si>
  <si>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</si>
  <si>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</si>
  <si>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</si>
  <si>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</si>
  <si>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</si>
  <si>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</si>
  <si>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</si>
  <si>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</si>
  <si>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</si>
  <si>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</si>
  <si>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</si>
  <si>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</si>
  <si>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</si>
  <si>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</si>
  <si>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</si>
  <si>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</si>
  <si>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</si>
  <si>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</si>
  <si>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</si>
  <si>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</si>
  <si>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</si>
  <si>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</si>
  <si>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</si>
  <si>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</si>
  <si>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</si>
  <si>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</si>
  <si>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</si>
  <si>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</si>
  <si>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</si>
  <si>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</si>
  <si>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</si>
  <si>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</si>
  <si>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</si>
  <si>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</si>
  <si>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</si>
  <si>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</si>
  <si>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</si>
  <si>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</si>
  <si>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</si>
  <si>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</si>
  <si>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</si>
  <si>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</si>
  <si>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</si>
  <si>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</si>
  <si>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</si>
  <si>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</si>
  <si>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</si>
  <si>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</si>
  <si>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</si>
  <si>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</si>
  <si>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</si>
  <si>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</si>
  <si>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</si>
  <si>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</si>
  <si>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</si>
  <si>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</si>
  <si>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</si>
  <si>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</si>
  <si>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</si>
  <si>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</si>
  <si>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</si>
  <si>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</si>
  <si>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</si>
  <si>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</si>
  <si>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</si>
  <si>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</si>
  <si>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</si>
  <si>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</si>
  <si>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</si>
  <si>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</si>
  <si>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</si>
  <si>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</si>
  <si>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</si>
  <si>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</si>
  <si>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</si>
  <si>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</si>
  <si>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</si>
  <si>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</si>
  <si>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</si>
  <si>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</si>
  <si>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</si>
  <si>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</si>
  <si>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</si>
  <si>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</si>
  <si>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</si>
  <si>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</si>
  <si>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</si>
  <si>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</si>
  <si>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</si>
  <si>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</si>
  <si>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</si>
  <si>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</si>
  <si>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</si>
  <si>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</si>
  <si>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</si>
  <si>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</si>
  <si>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</si>
  <si>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</si>
  <si>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</si>
  <si>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</si>
  <si>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</si>
  <si>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</si>
  <si>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</si>
  <si>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</si>
  <si>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</si>
  <si>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</si>
  <si>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</si>
  <si>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</si>
  <si>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</si>
  <si>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</si>
  <si>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</si>
  <si>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</si>
  <si>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</si>
  <si>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</si>
  <si>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</si>
  <si>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</si>
  <si>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</si>
  <si>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</si>
  <si>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</si>
  <si>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</si>
  <si>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</si>
  <si>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</si>
  <si>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</si>
  <si>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</si>
  <si>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</si>
  <si>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</si>
  <si>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</si>
  <si>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</si>
  <si>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</si>
  <si>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</si>
  <si>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</si>
  <si>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</si>
  <si>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</si>
  <si>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</si>
  <si>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</si>
  <si>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</si>
  <si>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</si>
  <si>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</si>
  <si>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</si>
  <si>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</si>
  <si>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</si>
  <si>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</si>
  <si>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</si>
  <si>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</si>
  <si>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</si>
  <si>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</si>
  <si>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</si>
  <si>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</si>
  <si>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</si>
  <si>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</si>
  <si>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</si>
  <si>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</si>
  <si>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</si>
  <si>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</si>
  <si>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</si>
  <si>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</si>
  <si>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</si>
  <si>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</si>
  <si>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</si>
  <si>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</si>
  <si>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</si>
  <si>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</si>
  <si>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</si>
  <si>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</si>
  <si>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</si>
  <si>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</si>
  <si>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</si>
  <si>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</si>
  <si>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</si>
  <si>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</si>
  <si>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</si>
  <si>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</si>
  <si>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</si>
  <si>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</si>
  <si>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</si>
  <si>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</si>
  <si>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</si>
  <si>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</si>
  <si>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</si>
  <si>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</si>
  <si>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</si>
  <si>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</si>
  <si>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</si>
  <si>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</si>
  <si>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</si>
  <si>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</si>
  <si>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</si>
  <si>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</si>
  <si>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</si>
  <si>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</si>
  <si>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</si>
  <si>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</si>
  <si>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</si>
  <si>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</si>
  <si>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</si>
  <si>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</si>
  <si>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</si>
  <si>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</si>
  <si>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</si>
  <si>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</si>
  <si>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</si>
  <si>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</si>
  <si>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</si>
  <si>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</si>
  <si>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</si>
  <si>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</si>
  <si>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</si>
  <si>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</si>
  <si>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</si>
  <si>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</si>
  <si>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</si>
  <si>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</si>
  <si>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</si>
  <si>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</si>
  <si>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</si>
  <si>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</si>
  <si>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</si>
  <si>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</si>
  <si>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</si>
  <si>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</si>
  <si>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</si>
  <si>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</si>
  <si>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</si>
  <si>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</si>
  <si>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</si>
  <si>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</si>
  <si>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</si>
  <si>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</si>
  <si>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</si>
  <si>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</si>
  <si>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</si>
  <si>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</si>
  <si>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</si>
  <si>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</si>
  <si>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</si>
  <si>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</si>
  <si>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</si>
  <si>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</si>
  <si>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</si>
  <si>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</si>
  <si>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</si>
  <si>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</si>
  <si>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</si>
  <si>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</si>
  <si>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</si>
  <si>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</si>
  <si>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</si>
  <si>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</si>
  <si>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</si>
  <si>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</si>
  <si>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</si>
  <si>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</si>
  <si>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</si>
  <si>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</si>
  <si>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</si>
  <si>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</si>
  <si>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</si>
  <si>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</si>
  <si>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</si>
  <si>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</si>
  <si>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</si>
  <si>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</si>
  <si>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</si>
  <si>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</si>
  <si>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</si>
  <si>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</si>
  <si>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</si>
  <si>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</si>
  <si>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</si>
  <si>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</si>
  <si>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</si>
  <si>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</si>
  <si>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</si>
  <si>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</si>
  <si>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</si>
  <si>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</si>
  <si>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</si>
  <si>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</si>
  <si>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</si>
  <si>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</si>
  <si>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</si>
  <si>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</si>
  <si>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</si>
  <si>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</si>
  <si>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</si>
  <si>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</si>
  <si>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</si>
  <si>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</si>
  <si>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</si>
  <si>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</si>
  <si>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</si>
  <si>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</si>
  <si>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</si>
  <si>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</si>
  <si>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</si>
  <si>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</si>
  <si>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</si>
  <si>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</si>
  <si>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</si>
  <si>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</si>
  <si>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</si>
  <si>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</si>
  <si>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</si>
  <si>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</si>
  <si>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</si>
  <si>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</si>
  <si>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</si>
  <si>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</si>
  <si>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</si>
  <si>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</si>
  <si>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</si>
  <si>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</si>
  <si>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</si>
  <si>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</si>
  <si>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</si>
  <si>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</si>
  <si>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</si>
  <si>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</si>
  <si>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</si>
  <si>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</si>
  <si>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</si>
  <si>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</si>
  <si>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</si>
  <si>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</si>
  <si>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</si>
  <si>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</si>
  <si>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</si>
  <si>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</si>
  <si>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</si>
  <si>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</si>
  <si>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</si>
  <si>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</si>
  <si>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</si>
  <si>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</si>
  <si>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</si>
  <si>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</si>
  <si>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</si>
  <si>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</si>
  <si>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</si>
  <si>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</si>
  <si>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</si>
  <si>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</si>
  <si>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</si>
  <si>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</si>
  <si>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</si>
  <si>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</si>
  <si>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Errol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</si>
</sst>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0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171</v>
      </c>
      <c r="C2" s="21">
        <v>171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18174.57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14505.71</v>
      </c>
      <c r="G10" s="18"/>
      <c r="H10" s="18"/>
      <c r="I10" s="18"/>
      <c r="J10" s="67">
        <f>SUM(I440)</f>
        <v>224382.96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>
        <v>1352.86</v>
      </c>
      <c r="I12" s="18"/>
      <c r="J12" s="67">
        <f>SUM(I441)</f>
        <v>220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4316.2</v>
      </c>
      <c r="G13" s="18">
        <v>73.14</v>
      </c>
      <c r="H13" s="18">
        <v>1321.15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36996.479999999996</v>
      </c>
      <c r="G19" s="41">
        <f>SUM(G9:G18)</f>
        <v>73.14</v>
      </c>
      <c r="H19" s="41">
        <f>SUM(H9:H18)</f>
        <v>2674.01</v>
      </c>
      <c r="I19" s="41">
        <f>SUM(I9:I18)</f>
        <v>0</v>
      </c>
      <c r="J19" s="41">
        <f>SUM(J9:J18)</f>
        <v>224602.96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1499.72</v>
      </c>
      <c r="G22" s="18">
        <v>73.14</v>
      </c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>
        <v>94.94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2375.9499999999998</v>
      </c>
      <c r="G24" s="18"/>
      <c r="H24" s="18">
        <v>628.75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767.35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>
        <v>1950.32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4643.0200000000004</v>
      </c>
      <c r="G32" s="41">
        <f>SUM(G22:G31)</f>
        <v>73.14</v>
      </c>
      <c r="H32" s="41">
        <f>SUM(H22:H31)</f>
        <v>2674.01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20524.54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1500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11110.46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204078.41999999998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19743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32353.46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224602.96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36996.479999999996</v>
      </c>
      <c r="G52" s="41">
        <f>G51+G32</f>
        <v>73.14</v>
      </c>
      <c r="H52" s="41">
        <f>H51+H32</f>
        <v>2674.01</v>
      </c>
      <c r="I52" s="41">
        <f>I51+I32</f>
        <v>0</v>
      </c>
      <c r="J52" s="41">
        <f>J51+J32</f>
        <v>224602.96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268677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>
        <v>0</v>
      </c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268677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333.23</v>
      </c>
      <c r="G96" s="18"/>
      <c r="H96" s="18"/>
      <c r="I96" s="18"/>
      <c r="J96" s="18">
        <v>363.15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7704.22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>
        <v>941.5</v>
      </c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1998.56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4786.92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845.42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5965.57</v>
      </c>
      <c r="G111" s="41">
        <f>SUM(G96:G110)</f>
        <v>8645.7200000000012</v>
      </c>
      <c r="H111" s="41">
        <f>SUM(H96:H110)</f>
        <v>1998.56</v>
      </c>
      <c r="I111" s="41">
        <f>SUM(I96:I110)</f>
        <v>0</v>
      </c>
      <c r="J111" s="41">
        <f>SUM(J96:J110)</f>
        <v>363.15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274642.57</v>
      </c>
      <c r="G112" s="41">
        <f>G60+G111</f>
        <v>8645.7200000000012</v>
      </c>
      <c r="H112" s="41">
        <f>H60+H79+H94+H111</f>
        <v>1998.56</v>
      </c>
      <c r="I112" s="41">
        <f>I60+I111</f>
        <v>0</v>
      </c>
      <c r="J112" s="41">
        <f>J60+J111</f>
        <v>363.15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13156.51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175775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188931.51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146.63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146.63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188931.51</v>
      </c>
      <c r="G140" s="41">
        <f>G121+SUM(G136:G137)</f>
        <v>146.63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v>11587.03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5592.13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1547.91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/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>
        <v>1771.65</v>
      </c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0</v>
      </c>
      <c r="G162" s="41">
        <f>SUM(G150:G161)</f>
        <v>3319.5600000000004</v>
      </c>
      <c r="H162" s="41">
        <f>SUM(H150:H161)</f>
        <v>17179.16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4394.46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4394.46</v>
      </c>
      <c r="G169" s="41">
        <f>G147+G162+SUM(G163:G168)</f>
        <v>3319.5600000000004</v>
      </c>
      <c r="H169" s="41">
        <f>H147+H162+SUM(H163:H168)</f>
        <v>17179.16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11873.96</v>
      </c>
      <c r="H179" s="18"/>
      <c r="I179" s="18"/>
      <c r="J179" s="18">
        <v>11000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11873.96</v>
      </c>
      <c r="H183" s="41">
        <f>SUM(H179:H182)</f>
        <v>0</v>
      </c>
      <c r="I183" s="41">
        <f>SUM(I179:I182)</f>
        <v>0</v>
      </c>
      <c r="J183" s="41">
        <f>SUM(J179:J182)</f>
        <v>11000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4316.2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4316.2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4316.2</v>
      </c>
      <c r="G192" s="41">
        <f>G183+SUM(G188:G191)</f>
        <v>11873.96</v>
      </c>
      <c r="H192" s="41">
        <f>+H183+SUM(H188:H191)</f>
        <v>0</v>
      </c>
      <c r="I192" s="41">
        <f>I177+I183+SUM(I188:I191)</f>
        <v>0</v>
      </c>
      <c r="J192" s="41">
        <f>J183</f>
        <v>11000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472284.74000000005</v>
      </c>
      <c r="G193" s="47">
        <f>G112+G140+G169+G192</f>
        <v>23985.87</v>
      </c>
      <c r="H193" s="47">
        <f>H112+H140+H169+H192</f>
        <v>19177.72</v>
      </c>
      <c r="I193" s="47">
        <f>I112+I140+I169+I192</f>
        <v>0</v>
      </c>
      <c r="J193" s="47">
        <f>J112+J140+J192</f>
        <v>11363.15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126350.63</v>
      </c>
      <c r="G197" s="18">
        <v>63507.020000000011</v>
      </c>
      <c r="H197" s="18">
        <v>1088.32</v>
      </c>
      <c r="I197" s="18">
        <v>5711.0700000000006</v>
      </c>
      <c r="J197" s="18">
        <v>3529.54</v>
      </c>
      <c r="K197" s="18"/>
      <c r="L197" s="19">
        <f>SUM(F197:K197)</f>
        <v>200186.58000000005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10643.24</v>
      </c>
      <c r="G198" s="18">
        <v>893.42</v>
      </c>
      <c r="H198" s="18"/>
      <c r="I198" s="18">
        <v>0</v>
      </c>
      <c r="J198" s="18"/>
      <c r="K198" s="18"/>
      <c r="L198" s="19">
        <f>SUM(F198:K198)</f>
        <v>11536.66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9431.31</v>
      </c>
      <c r="G202" s="18">
        <v>4494.3200000000006</v>
      </c>
      <c r="H202" s="18">
        <v>12211.5</v>
      </c>
      <c r="I202" s="18">
        <v>300.67</v>
      </c>
      <c r="J202" s="18"/>
      <c r="K202" s="18"/>
      <c r="L202" s="19">
        <f t="shared" ref="L202:L208" si="0">SUM(F202:K202)</f>
        <v>26437.8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700</v>
      </c>
      <c r="G203" s="18">
        <v>85.96</v>
      </c>
      <c r="H203" s="18">
        <v>0</v>
      </c>
      <c r="I203" s="18">
        <v>474.04</v>
      </c>
      <c r="J203" s="18"/>
      <c r="K203" s="18"/>
      <c r="L203" s="19">
        <f t="shared" si="0"/>
        <v>1260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1222.8203434610302</v>
      </c>
      <c r="G204" s="18">
        <v>100.96085865257595</v>
      </c>
      <c r="H204" s="18">
        <v>43943.352047556138</v>
      </c>
      <c r="I204" s="18">
        <v>319.01578599735797</v>
      </c>
      <c r="J204" s="18"/>
      <c r="K204" s="18">
        <v>2198.8635138705413</v>
      </c>
      <c r="L204" s="19">
        <f t="shared" si="0"/>
        <v>47785.012549537641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34948.5</v>
      </c>
      <c r="G205" s="18">
        <v>15294.21</v>
      </c>
      <c r="H205" s="18">
        <v>4551.8300000000008</v>
      </c>
      <c r="I205" s="18">
        <v>320.41000000000003</v>
      </c>
      <c r="J205" s="18">
        <v>179.87</v>
      </c>
      <c r="K205" s="18">
        <v>807.36</v>
      </c>
      <c r="L205" s="19">
        <f t="shared" si="0"/>
        <v>56102.180000000008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9708.99</v>
      </c>
      <c r="G207" s="18">
        <v>1101.8899999999999</v>
      </c>
      <c r="H207" s="18">
        <v>12324.93</v>
      </c>
      <c r="I207" s="18">
        <v>8315.130000000001</v>
      </c>
      <c r="J207" s="18"/>
      <c r="K207" s="18"/>
      <c r="L207" s="19">
        <f t="shared" si="0"/>
        <v>31450.94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>
        <v>15</v>
      </c>
      <c r="H208" s="18">
        <v>20000</v>
      </c>
      <c r="I208" s="18"/>
      <c r="J208" s="18"/>
      <c r="K208" s="18"/>
      <c r="L208" s="19">
        <f t="shared" si="0"/>
        <v>20015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193005.49034346102</v>
      </c>
      <c r="G211" s="41">
        <f t="shared" si="1"/>
        <v>85492.780858652593</v>
      </c>
      <c r="H211" s="41">
        <f t="shared" si="1"/>
        <v>94119.93204755614</v>
      </c>
      <c r="I211" s="41">
        <f t="shared" si="1"/>
        <v>15440.335785997358</v>
      </c>
      <c r="J211" s="41">
        <f t="shared" si="1"/>
        <v>3709.41</v>
      </c>
      <c r="K211" s="41">
        <f t="shared" si="1"/>
        <v>3006.2235138705414</v>
      </c>
      <c r="L211" s="41">
        <f t="shared" si="1"/>
        <v>394774.17254953767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48335.4</v>
      </c>
      <c r="I233" s="18"/>
      <c r="J233" s="18"/>
      <c r="K233" s="18"/>
      <c r="L233" s="19">
        <f>SUM(F233:K233)</f>
        <v>48335.4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>
        <v>210.81</v>
      </c>
      <c r="I236" s="18"/>
      <c r="J236" s="18"/>
      <c r="K236" s="18"/>
      <c r="L236" s="19">
        <f>SUM(F236:K236)</f>
        <v>210.81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>
        <v>72.8</v>
      </c>
      <c r="I238" s="18"/>
      <c r="J238" s="18"/>
      <c r="K238" s="18"/>
      <c r="L238" s="19">
        <f t="shared" ref="L238:L244" si="4">SUM(F238:K238)</f>
        <v>72.8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302.1796565389696</v>
      </c>
      <c r="G240" s="18">
        <v>24.949141347424039</v>
      </c>
      <c r="H240" s="18">
        <v>10859.147952443856</v>
      </c>
      <c r="I240" s="18">
        <v>78.834214002642014</v>
      </c>
      <c r="J240" s="18"/>
      <c r="K240" s="18">
        <v>543.37648612945827</v>
      </c>
      <c r="L240" s="19">
        <f t="shared" si="4"/>
        <v>11808.487450462349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302.1796565389696</v>
      </c>
      <c r="G247" s="41">
        <f t="shared" si="5"/>
        <v>24.949141347424039</v>
      </c>
      <c r="H247" s="41">
        <f t="shared" si="5"/>
        <v>59478.157952443857</v>
      </c>
      <c r="I247" s="41">
        <f t="shared" si="5"/>
        <v>78.834214002642014</v>
      </c>
      <c r="J247" s="41">
        <f t="shared" si="5"/>
        <v>0</v>
      </c>
      <c r="K247" s="41">
        <f t="shared" si="5"/>
        <v>543.37648612945827</v>
      </c>
      <c r="L247" s="41">
        <f t="shared" si="5"/>
        <v>60427.497450462353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193307.66999999998</v>
      </c>
      <c r="G257" s="41">
        <f t="shared" si="8"/>
        <v>85517.73000000001</v>
      </c>
      <c r="H257" s="41">
        <f t="shared" si="8"/>
        <v>153598.09</v>
      </c>
      <c r="I257" s="41">
        <f t="shared" si="8"/>
        <v>15519.17</v>
      </c>
      <c r="J257" s="41">
        <f t="shared" si="8"/>
        <v>3709.41</v>
      </c>
      <c r="K257" s="41">
        <f t="shared" si="8"/>
        <v>3549.5999999999995</v>
      </c>
      <c r="L257" s="41">
        <f t="shared" si="8"/>
        <v>455201.67000000004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11873.96</v>
      </c>
      <c r="L263" s="19">
        <f>SUM(F263:K263)</f>
        <v>11873.96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11000</v>
      </c>
      <c r="L266" s="19">
        <f t="shared" si="9"/>
        <v>11000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22873.96</v>
      </c>
      <c r="L270" s="41">
        <f t="shared" si="9"/>
        <v>22873.96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193307.66999999998</v>
      </c>
      <c r="G271" s="42">
        <f t="shared" si="11"/>
        <v>85517.73000000001</v>
      </c>
      <c r="H271" s="42">
        <f t="shared" si="11"/>
        <v>153598.09</v>
      </c>
      <c r="I271" s="42">
        <f t="shared" si="11"/>
        <v>15519.17</v>
      </c>
      <c r="J271" s="42">
        <f t="shared" si="11"/>
        <v>3709.41</v>
      </c>
      <c r="K271" s="42">
        <f t="shared" si="11"/>
        <v>26423.559999999998</v>
      </c>
      <c r="L271" s="42">
        <f t="shared" si="11"/>
        <v>478075.63000000006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>
        <v>2249.3500000000004</v>
      </c>
      <c r="I276" s="18">
        <v>1625.1</v>
      </c>
      <c r="J276" s="18">
        <v>3960.69</v>
      </c>
      <c r="K276" s="18">
        <v>65</v>
      </c>
      <c r="L276" s="19">
        <f>SUM(F276:K276)</f>
        <v>7900.14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>
        <v>6511.6399999999994</v>
      </c>
      <c r="I282" s="18"/>
      <c r="J282" s="18"/>
      <c r="K282" s="18">
        <v>365</v>
      </c>
      <c r="L282" s="19">
        <f t="shared" si="12"/>
        <v>6876.6399999999994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2208.75</v>
      </c>
      <c r="I287" s="18"/>
      <c r="J287" s="18"/>
      <c r="K287" s="18"/>
      <c r="L287" s="19">
        <f t="shared" si="12"/>
        <v>2208.75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10969.74</v>
      </c>
      <c r="I290" s="42">
        <f t="shared" si="13"/>
        <v>1625.1</v>
      </c>
      <c r="J290" s="42">
        <f t="shared" si="13"/>
        <v>3960.69</v>
      </c>
      <c r="K290" s="42">
        <f t="shared" si="13"/>
        <v>430</v>
      </c>
      <c r="L290" s="41">
        <f t="shared" si="13"/>
        <v>16985.53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10969.74</v>
      </c>
      <c r="I338" s="41">
        <f t="shared" si="20"/>
        <v>1625.1</v>
      </c>
      <c r="J338" s="41">
        <f t="shared" si="20"/>
        <v>3960.69</v>
      </c>
      <c r="K338" s="41">
        <f t="shared" si="20"/>
        <v>430</v>
      </c>
      <c r="L338" s="41">
        <f t="shared" si="20"/>
        <v>16985.53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>
        <v>2192.19</v>
      </c>
      <c r="L350" s="19">
        <f t="shared" si="21"/>
        <v>2192.19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2192.19</v>
      </c>
      <c r="L351" s="41">
        <f>SUM(L341:L350)</f>
        <v>2192.19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10969.74</v>
      </c>
      <c r="I352" s="41">
        <f>I338</f>
        <v>1625.1</v>
      </c>
      <c r="J352" s="41">
        <f>J338</f>
        <v>3960.69</v>
      </c>
      <c r="K352" s="47">
        <f>K338+K351</f>
        <v>2622.19</v>
      </c>
      <c r="L352" s="41">
        <f>L338+L351</f>
        <v>19177.719999999998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15450</v>
      </c>
      <c r="G358" s="18">
        <v>1692.51</v>
      </c>
      <c r="H358" s="18"/>
      <c r="I358" s="18">
        <v>6928.59</v>
      </c>
      <c r="J358" s="18"/>
      <c r="K358" s="18"/>
      <c r="L358" s="13">
        <f>SUM(F358:K358)</f>
        <v>24071.1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15450</v>
      </c>
      <c r="G362" s="47">
        <f t="shared" si="22"/>
        <v>1692.51</v>
      </c>
      <c r="H362" s="47">
        <f t="shared" si="22"/>
        <v>0</v>
      </c>
      <c r="I362" s="47">
        <f t="shared" si="22"/>
        <v>6928.59</v>
      </c>
      <c r="J362" s="47">
        <f t="shared" si="22"/>
        <v>0</v>
      </c>
      <c r="K362" s="47">
        <f t="shared" si="22"/>
        <v>0</v>
      </c>
      <c r="L362" s="47">
        <f t="shared" si="22"/>
        <v>24071.1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6259.16</v>
      </c>
      <c r="G367" s="18"/>
      <c r="H367" s="18"/>
      <c r="I367" s="56">
        <f>SUM(F367:H367)</f>
        <v>6259.16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669.43</v>
      </c>
      <c r="G368" s="63"/>
      <c r="H368" s="63"/>
      <c r="I368" s="56">
        <f>SUM(F368:H368)</f>
        <v>669.43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6928.59</v>
      </c>
      <c r="G369" s="47">
        <f>SUM(G367:G368)</f>
        <v>0</v>
      </c>
      <c r="H369" s="47">
        <f>SUM(H367:H368)</f>
        <v>0</v>
      </c>
      <c r="I369" s="47">
        <f>SUM(I367:I368)</f>
        <v>6928.59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>
        <v>10000</v>
      </c>
      <c r="H388" s="18">
        <v>25.15</v>
      </c>
      <c r="I388" s="18"/>
      <c r="J388" s="24" t="s">
        <v>288</v>
      </c>
      <c r="K388" s="24" t="s">
        <v>288</v>
      </c>
      <c r="L388" s="56">
        <f t="shared" si="25"/>
        <v>10025.15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>
        <v>42</v>
      </c>
      <c r="I391" s="18"/>
      <c r="J391" s="24" t="s">
        <v>288</v>
      </c>
      <c r="K391" s="24" t="s">
        <v>288</v>
      </c>
      <c r="L391" s="56">
        <f t="shared" si="25"/>
        <v>42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10000</v>
      </c>
      <c r="H393" s="139">
        <f>SUM(H387:H392)</f>
        <v>67.150000000000006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10067.15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>
        <v>232.09</v>
      </c>
      <c r="I398" s="18"/>
      <c r="J398" s="24" t="s">
        <v>288</v>
      </c>
      <c r="K398" s="24" t="s">
        <v>288</v>
      </c>
      <c r="L398" s="56">
        <f t="shared" si="26"/>
        <v>232.09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>
        <v>19.559999999999999</v>
      </c>
      <c r="I399" s="18"/>
      <c r="J399" s="24" t="s">
        <v>288</v>
      </c>
      <c r="K399" s="24" t="s">
        <v>288</v>
      </c>
      <c r="L399" s="56">
        <f t="shared" si="26"/>
        <v>19.559999999999999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>
        <v>1000</v>
      </c>
      <c r="H400" s="18">
        <v>44.35</v>
      </c>
      <c r="I400" s="18"/>
      <c r="J400" s="24" t="s">
        <v>288</v>
      </c>
      <c r="K400" s="24" t="s">
        <v>288</v>
      </c>
      <c r="L400" s="56">
        <f t="shared" si="26"/>
        <v>1044.3499999999999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1000</v>
      </c>
      <c r="H401" s="47">
        <f>SUM(H395:H400)</f>
        <v>296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1296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11000</v>
      </c>
      <c r="H408" s="47">
        <f>H393+H401+H407</f>
        <v>363.15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11363.15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32671.09</v>
      </c>
      <c r="G440" s="18">
        <v>191711.87</v>
      </c>
      <c r="H440" s="18"/>
      <c r="I440" s="56">
        <f t="shared" si="33"/>
        <v>224382.96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>
        <v>220</v>
      </c>
      <c r="H441" s="18"/>
      <c r="I441" s="56">
        <f t="shared" si="33"/>
        <v>220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32671.09</v>
      </c>
      <c r="G446" s="13">
        <f>SUM(G439:G445)</f>
        <v>191931.87</v>
      </c>
      <c r="H446" s="13">
        <f>SUM(H439:H445)</f>
        <v>0</v>
      </c>
      <c r="I446" s="13">
        <f>SUM(I439:I445)</f>
        <v>224602.96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>
        <v>20524.54</v>
      </c>
      <c r="H457" s="18"/>
      <c r="I457" s="56">
        <f t="shared" si="34"/>
        <v>20524.54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32671.09</v>
      </c>
      <c r="G459" s="18">
        <v>171407.33</v>
      </c>
      <c r="H459" s="18"/>
      <c r="I459" s="56">
        <f t="shared" si="34"/>
        <v>204078.41999999998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32671.09</v>
      </c>
      <c r="G460" s="83">
        <f>SUM(G454:G459)</f>
        <v>191931.87</v>
      </c>
      <c r="H460" s="83">
        <f>SUM(H454:H459)</f>
        <v>0</v>
      </c>
      <c r="I460" s="83">
        <f>SUM(I454:I459)</f>
        <v>224602.96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32671.09</v>
      </c>
      <c r="G461" s="42">
        <f>G452+G460</f>
        <v>191931.87</v>
      </c>
      <c r="H461" s="42">
        <f>H452+H460</f>
        <v>0</v>
      </c>
      <c r="I461" s="42">
        <f>I452+I460</f>
        <v>224602.96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38144.35</v>
      </c>
      <c r="G465" s="18">
        <v>85.23</v>
      </c>
      <c r="H465" s="18">
        <v>0</v>
      </c>
      <c r="I465" s="18"/>
      <c r="J465" s="18">
        <v>213239.81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472284.74</v>
      </c>
      <c r="G468" s="18">
        <v>23985.87</v>
      </c>
      <c r="H468" s="18">
        <v>19177.72</v>
      </c>
      <c r="I468" s="18"/>
      <c r="J468" s="18">
        <v>11363.15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472284.74</v>
      </c>
      <c r="G470" s="53">
        <f>SUM(G468:G469)</f>
        <v>23985.87</v>
      </c>
      <c r="H470" s="53">
        <f>SUM(H468:H469)</f>
        <v>19177.72</v>
      </c>
      <c r="I470" s="53">
        <f>SUM(I468:I469)</f>
        <v>0</v>
      </c>
      <c r="J470" s="53">
        <f>SUM(J468:J469)</f>
        <v>11363.15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478075.63</v>
      </c>
      <c r="G472" s="18">
        <v>24071.1</v>
      </c>
      <c r="H472" s="18">
        <v>19177.72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478075.63</v>
      </c>
      <c r="G474" s="53">
        <f>SUM(G472:G473)</f>
        <v>24071.1</v>
      </c>
      <c r="H474" s="53">
        <f>SUM(H472:H473)</f>
        <v>19177.72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32353.459999999963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224602.96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>
        <v>3025</v>
      </c>
      <c r="G507" s="144">
        <v>55</v>
      </c>
      <c r="H507" s="144"/>
      <c r="I507" s="144">
        <v>3080</v>
      </c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>
        <v>14029</v>
      </c>
      <c r="G512" s="24" t="s">
        <v>288</v>
      </c>
      <c r="H512" s="18">
        <v>13229</v>
      </c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>
        <v>247774</v>
      </c>
      <c r="G513" s="24" t="s">
        <v>288</v>
      </c>
      <c r="H513" s="18">
        <v>237893</v>
      </c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>
        <v>3764</v>
      </c>
      <c r="G514" s="24" t="s">
        <v>288</v>
      </c>
      <c r="H514" s="18">
        <v>3351</v>
      </c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265567</v>
      </c>
      <c r="G517" s="42">
        <f>SUM(G511:G516)</f>
        <v>0</v>
      </c>
      <c r="H517" s="42">
        <f>SUM(H511:H516)</f>
        <v>254473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10643.24</v>
      </c>
      <c r="G521" s="18">
        <v>893.42</v>
      </c>
      <c r="H521" s="18"/>
      <c r="I521" s="18"/>
      <c r="J521" s="18"/>
      <c r="K521" s="18"/>
      <c r="L521" s="88">
        <f>SUM(F521:K521)</f>
        <v>11536.66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210.81</v>
      </c>
      <c r="I523" s="18"/>
      <c r="J523" s="18"/>
      <c r="K523" s="18"/>
      <c r="L523" s="88">
        <f>SUM(F523:K523)</f>
        <v>210.81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10643.24</v>
      </c>
      <c r="G524" s="108">
        <f t="shared" ref="G524:L524" si="36">SUM(G521:G523)</f>
        <v>893.42</v>
      </c>
      <c r="H524" s="108">
        <f t="shared" si="36"/>
        <v>210.81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11747.47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50</v>
      </c>
      <c r="G526" s="18">
        <v>3.82</v>
      </c>
      <c r="H526" s="18">
        <v>11620</v>
      </c>
      <c r="I526" s="18"/>
      <c r="J526" s="18"/>
      <c r="K526" s="18"/>
      <c r="L526" s="88">
        <f>SUM(F526:K526)</f>
        <v>11673.82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v>72.8</v>
      </c>
      <c r="I528" s="18"/>
      <c r="J528" s="18"/>
      <c r="K528" s="18"/>
      <c r="L528" s="88">
        <f>SUM(F528:K528)</f>
        <v>72.8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50</v>
      </c>
      <c r="G529" s="89">
        <f t="shared" ref="G529:L529" si="37">SUM(G526:G528)</f>
        <v>3.82</v>
      </c>
      <c r="H529" s="89">
        <f t="shared" si="37"/>
        <v>11692.8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11746.619999999999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>
        <v>10107.92</v>
      </c>
      <c r="I533" s="18"/>
      <c r="J533" s="18"/>
      <c r="K533" s="18"/>
      <c r="L533" s="88">
        <f>SUM(F533:K533)</f>
        <v>10107.92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10107.92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10107.92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10693.24</v>
      </c>
      <c r="G545" s="89">
        <f t="shared" ref="G545:L545" si="41">G524+G529+G534+G539+G544</f>
        <v>897.24</v>
      </c>
      <c r="H545" s="89">
        <f t="shared" si="41"/>
        <v>22011.53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33602.009999999995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11536.66</v>
      </c>
      <c r="G549" s="87">
        <f>L526</f>
        <v>11673.82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23210.48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210.81</v>
      </c>
      <c r="G551" s="87">
        <f>L528</f>
        <v>72.8</v>
      </c>
      <c r="H551" s="87">
        <f>L533</f>
        <v>10107.92</v>
      </c>
      <c r="I551" s="87">
        <f>L538</f>
        <v>0</v>
      </c>
      <c r="J551" s="87">
        <f>L543</f>
        <v>0</v>
      </c>
      <c r="K551" s="87">
        <f>SUM(F551:J551)</f>
        <v>10391.530000000001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11747.47</v>
      </c>
      <c r="G552" s="89">
        <f t="shared" si="42"/>
        <v>11746.619999999999</v>
      </c>
      <c r="H552" s="89">
        <f t="shared" si="42"/>
        <v>10107.92</v>
      </c>
      <c r="I552" s="89">
        <f t="shared" si="42"/>
        <v>0</v>
      </c>
      <c r="J552" s="89">
        <f t="shared" si="42"/>
        <v>0</v>
      </c>
      <c r="K552" s="89">
        <f t="shared" si="42"/>
        <v>33602.01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48335.4</v>
      </c>
      <c r="I575" s="87">
        <f>SUM(F575:H575)</f>
        <v>48335.4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20015</v>
      </c>
      <c r="I591" s="18"/>
      <c r="J591" s="18"/>
      <c r="K591" s="104">
        <f t="shared" ref="K591:K597" si="48">SUM(H591:J591)</f>
        <v>20015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20015</v>
      </c>
      <c r="I598" s="108">
        <f>SUM(I591:I597)</f>
        <v>0</v>
      </c>
      <c r="J598" s="108">
        <f>SUM(J591:J597)</f>
        <v>0</v>
      </c>
      <c r="K598" s="108">
        <f>SUM(K591:K597)</f>
        <v>20015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7670.1</v>
      </c>
      <c r="I604" s="18"/>
      <c r="J604" s="18"/>
      <c r="K604" s="104">
        <f>SUM(H604:J604)</f>
        <v>7670.1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7670.1</v>
      </c>
      <c r="I605" s="108">
        <f>SUM(I602:I604)</f>
        <v>0</v>
      </c>
      <c r="J605" s="108">
        <f>SUM(J602:J604)</f>
        <v>0</v>
      </c>
      <c r="K605" s="108">
        <f>SUM(K602:K604)</f>
        <v>7670.1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>
        <v>210.81</v>
      </c>
      <c r="I613" s="18"/>
      <c r="J613" s="18"/>
      <c r="K613" s="18"/>
      <c r="L613" s="88">
        <f>SUM(F613:K613)</f>
        <v>210.81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210.81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210.81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36996.479999999996</v>
      </c>
      <c r="H617" s="109">
        <f>SUM(F52)</f>
        <v>36996.479999999996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73.14</v>
      </c>
      <c r="H618" s="109">
        <f>SUM(G52)</f>
        <v>73.14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2674.01</v>
      </c>
      <c r="H619" s="109">
        <f>SUM(H52)</f>
        <v>2674.01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224602.96</v>
      </c>
      <c r="H621" s="109">
        <f>SUM(J52)</f>
        <v>224602.96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32353.46</v>
      </c>
      <c r="H622" s="109">
        <f>F476</f>
        <v>32353.459999999963</v>
      </c>
      <c r="I622" s="121" t="s">
        <v>101</v>
      </c>
      <c r="J622" s="109">
        <f t="shared" ref="J622:J655" si="50">G622-H622</f>
        <v>3.637978807091713E-11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224602.96</v>
      </c>
      <c r="H626" s="109">
        <f>J476</f>
        <v>224602.96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472284.74000000005</v>
      </c>
      <c r="H627" s="104">
        <f>SUM(F468)</f>
        <v>472284.74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23985.87</v>
      </c>
      <c r="H628" s="104">
        <f>SUM(G468)</f>
        <v>23985.87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19177.72</v>
      </c>
      <c r="H629" s="104">
        <f>SUM(H468)</f>
        <v>19177.72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11363.15</v>
      </c>
      <c r="H631" s="104">
        <f>SUM(J468)</f>
        <v>11363.15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478075.63000000006</v>
      </c>
      <c r="H632" s="104">
        <f>SUM(F472)</f>
        <v>478075.63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19177.719999999998</v>
      </c>
      <c r="H633" s="104">
        <f>SUM(H472)</f>
        <v>19177.72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6928.59</v>
      </c>
      <c r="H634" s="104">
        <f>I369</f>
        <v>6928.59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24071.1</v>
      </c>
      <c r="H635" s="104">
        <f>SUM(G472)</f>
        <v>24071.1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11363.15</v>
      </c>
      <c r="H637" s="164">
        <f>SUM(J468)</f>
        <v>11363.15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32671.09</v>
      </c>
      <c r="H639" s="104">
        <f>SUM(F461)</f>
        <v>32671.09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191931.87</v>
      </c>
      <c r="H640" s="104">
        <f>SUM(G461)</f>
        <v>191931.87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224602.96</v>
      </c>
      <c r="H642" s="104">
        <f>SUM(I461)</f>
        <v>224602.96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363.15</v>
      </c>
      <c r="H644" s="104">
        <f>H408</f>
        <v>363.15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11000</v>
      </c>
      <c r="H645" s="104">
        <f>G408</f>
        <v>11000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11363.15</v>
      </c>
      <c r="H646" s="104">
        <f>L408</f>
        <v>11363.15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20015</v>
      </c>
      <c r="H647" s="104">
        <f>L208+L226+L244</f>
        <v>20015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7670.1</v>
      </c>
      <c r="H648" s="104">
        <f>(J257+J338)-(J255+J336)</f>
        <v>7670.1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20015</v>
      </c>
      <c r="H649" s="104">
        <f>H598</f>
        <v>20015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11873.96</v>
      </c>
      <c r="H652" s="104">
        <f>K263+K345</f>
        <v>11873.96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11000</v>
      </c>
      <c r="H655" s="104">
        <f>K266+K347</f>
        <v>11000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435830.80254953762</v>
      </c>
      <c r="G660" s="19">
        <f>(L229+L309+L359)</f>
        <v>0</v>
      </c>
      <c r="H660" s="19">
        <f>(L247+L328+L360)</f>
        <v>60427.497450462353</v>
      </c>
      <c r="I660" s="19">
        <f>SUM(F660:H660)</f>
        <v>496258.3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8645.7200000000012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8645.7200000000012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22223.75</v>
      </c>
      <c r="G662" s="19">
        <f>(L226+L306)-(J226+J306)</f>
        <v>0</v>
      </c>
      <c r="H662" s="19">
        <f>(L244+L325)-(J244+J325)</f>
        <v>0</v>
      </c>
      <c r="I662" s="19">
        <f>SUM(F662:H662)</f>
        <v>22223.75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7670.1</v>
      </c>
      <c r="G663" s="199">
        <f>SUM(G575:G587)+SUM(I602:I604)+L612</f>
        <v>0</v>
      </c>
      <c r="H663" s="199">
        <f>SUM(H575:H587)+SUM(J602:J604)+L613</f>
        <v>48546.21</v>
      </c>
      <c r="I663" s="19">
        <f>SUM(F663:H663)</f>
        <v>56216.31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397291.23254953761</v>
      </c>
      <c r="G664" s="19">
        <f>G660-SUM(G661:G663)</f>
        <v>0</v>
      </c>
      <c r="H664" s="19">
        <f>H660-SUM(H661:H663)</f>
        <v>11881.287450462354</v>
      </c>
      <c r="I664" s="19">
        <f>I660-SUM(I661:I663)</f>
        <v>409172.52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12.14</v>
      </c>
      <c r="G665" s="248"/>
      <c r="H665" s="248"/>
      <c r="I665" s="19">
        <f>SUM(F665:H665)</f>
        <v>12.14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32725.8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33704.49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-11881.29</v>
      </c>
      <c r="I669" s="19">
        <f>SUM(F669:H669)</f>
        <v>-11881.29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32725.8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32725.8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3" workbookViewId="0">
      <selection activeCell="B20" sqref="B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Errol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126350.63</v>
      </c>
      <c r="C9" s="229">
        <f>'DOE25'!G197+'DOE25'!G215+'DOE25'!G233+'DOE25'!G276+'DOE25'!G295+'DOE25'!G314</f>
        <v>63507.020000000011</v>
      </c>
    </row>
    <row r="10" spans="1:3" x14ac:dyDescent="0.2">
      <c r="A10" t="s">
        <v>778</v>
      </c>
      <c r="B10" s="240">
        <v>126350.63</v>
      </c>
      <c r="C10" s="240">
        <v>63507.02</v>
      </c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126350.63</v>
      </c>
      <c r="C13" s="231">
        <f>SUM(C10:C12)</f>
        <v>63507.02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10643.24</v>
      </c>
      <c r="C18" s="229">
        <f>'DOE25'!G198+'DOE25'!G216+'DOE25'!G234+'DOE25'!G277+'DOE25'!G296+'DOE25'!G315</f>
        <v>893.42</v>
      </c>
    </row>
    <row r="19" spans="1:3" x14ac:dyDescent="0.2">
      <c r="A19" t="s">
        <v>778</v>
      </c>
      <c r="B19" s="240">
        <v>10643.24</v>
      </c>
      <c r="C19" s="240">
        <v>893.42</v>
      </c>
    </row>
    <row r="20" spans="1:3" x14ac:dyDescent="0.2">
      <c r="A20" t="s">
        <v>779</v>
      </c>
      <c r="B20" s="240"/>
      <c r="C20" s="240"/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10643.24</v>
      </c>
      <c r="C22" s="231">
        <f>SUM(C19:C21)</f>
        <v>893.42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40" sqref="E4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Errol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260269.45000000004</v>
      </c>
      <c r="D5" s="20">
        <f>SUM('DOE25'!L197:L200)+SUM('DOE25'!L215:L218)+SUM('DOE25'!L233:L236)-F5-G5</f>
        <v>256739.91000000003</v>
      </c>
      <c r="E5" s="243"/>
      <c r="F5" s="255">
        <f>SUM('DOE25'!J197:J200)+SUM('DOE25'!J215:J218)+SUM('DOE25'!J233:J236)</f>
        <v>3529.54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26510.6</v>
      </c>
      <c r="D6" s="20">
        <f>'DOE25'!L202+'DOE25'!L220+'DOE25'!L238-F6-G6</f>
        <v>26510.6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1260</v>
      </c>
      <c r="D7" s="20">
        <f>'DOE25'!L203+'DOE25'!L221+'DOE25'!L239-F7-G7</f>
        <v>1260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43290.339999999989</v>
      </c>
      <c r="D8" s="243"/>
      <c r="E8" s="20">
        <f>'DOE25'!L204+'DOE25'!L222+'DOE25'!L240-F8-G8-D9-D11</f>
        <v>40548.099999999991</v>
      </c>
      <c r="F8" s="255">
        <f>'DOE25'!J204+'DOE25'!J222+'DOE25'!J240</f>
        <v>0</v>
      </c>
      <c r="G8" s="53">
        <f>'DOE25'!K204+'DOE25'!K222+'DOE25'!K240</f>
        <v>2742.24</v>
      </c>
      <c r="H8" s="259"/>
    </row>
    <row r="9" spans="1:9" x14ac:dyDescent="0.2">
      <c r="A9" s="32">
        <v>2310</v>
      </c>
      <c r="B9" t="s">
        <v>817</v>
      </c>
      <c r="C9" s="245">
        <f t="shared" si="0"/>
        <v>5913.5</v>
      </c>
      <c r="D9" s="244">
        <v>5913.5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4231.49</v>
      </c>
      <c r="D10" s="243"/>
      <c r="E10" s="244">
        <v>4231.49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10389.66</v>
      </c>
      <c r="D11" s="244">
        <v>10389.66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56102.180000000008</v>
      </c>
      <c r="D12" s="20">
        <f>'DOE25'!L205+'DOE25'!L223+'DOE25'!L241-F12-G12</f>
        <v>55114.950000000004</v>
      </c>
      <c r="E12" s="243"/>
      <c r="F12" s="255">
        <f>'DOE25'!J205+'DOE25'!J223+'DOE25'!J241</f>
        <v>179.87</v>
      </c>
      <c r="G12" s="53">
        <f>'DOE25'!K205+'DOE25'!K223+'DOE25'!K241</f>
        <v>807.36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31450.94</v>
      </c>
      <c r="D14" s="20">
        <f>'DOE25'!L207+'DOE25'!L225+'DOE25'!L243-F14-G14</f>
        <v>31450.94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20015</v>
      </c>
      <c r="D15" s="20">
        <f>'DOE25'!L208+'DOE25'!L226+'DOE25'!L244-F15-G15</f>
        <v>20015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17811.939999999999</v>
      </c>
      <c r="D29" s="20">
        <f>'DOE25'!L358+'DOE25'!L359+'DOE25'!L360-'DOE25'!I367-F29-G29</f>
        <v>17811.939999999999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16985.53</v>
      </c>
      <c r="D31" s="20">
        <f>'DOE25'!L290+'DOE25'!L309+'DOE25'!L328+'DOE25'!L333+'DOE25'!L334+'DOE25'!L335-F31-G31</f>
        <v>12594.839999999998</v>
      </c>
      <c r="E31" s="243"/>
      <c r="F31" s="255">
        <f>'DOE25'!J290+'DOE25'!J309+'DOE25'!J328+'DOE25'!J333+'DOE25'!J334+'DOE25'!J335</f>
        <v>3960.69</v>
      </c>
      <c r="G31" s="53">
        <f>'DOE25'!K290+'DOE25'!K309+'DOE25'!K328+'DOE25'!K333+'DOE25'!K334+'DOE25'!K335</f>
        <v>430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437801.34</v>
      </c>
      <c r="E33" s="246">
        <f>SUM(E5:E31)</f>
        <v>44779.589999999989</v>
      </c>
      <c r="F33" s="246">
        <f>SUM(F5:F31)</f>
        <v>7670.1</v>
      </c>
      <c r="G33" s="246">
        <f>SUM(G5:G31)</f>
        <v>3979.6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44779.589999999989</v>
      </c>
      <c r="E35" s="249"/>
    </row>
    <row r="36" spans="2:8" ht="12" thickTop="1" x14ac:dyDescent="0.2">
      <c r="B36" t="s">
        <v>814</v>
      </c>
      <c r="D36" s="20">
        <f>D33</f>
        <v>437801.34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Errol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18174.57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14505.71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224382.96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1352.86</v>
      </c>
      <c r="F11" s="95">
        <f>'DOE25'!I12</f>
        <v>0</v>
      </c>
      <c r="G11" s="95">
        <f>'DOE25'!J12</f>
        <v>220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4316.2</v>
      </c>
      <c r="D12" s="95">
        <f>'DOE25'!G13</f>
        <v>73.14</v>
      </c>
      <c r="E12" s="95">
        <f>'DOE25'!H13</f>
        <v>1321.15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36996.479999999996</v>
      </c>
      <c r="D18" s="41">
        <f>SUM(D8:D17)</f>
        <v>73.14</v>
      </c>
      <c r="E18" s="41">
        <f>SUM(E8:E17)</f>
        <v>2674.01</v>
      </c>
      <c r="F18" s="41">
        <f>SUM(F8:F17)</f>
        <v>0</v>
      </c>
      <c r="G18" s="41">
        <f>SUM(G8:G17)</f>
        <v>224602.96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1499.72</v>
      </c>
      <c r="D21" s="95">
        <f>'DOE25'!G22</f>
        <v>73.14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94.94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2375.9499999999998</v>
      </c>
      <c r="D23" s="95">
        <f>'DOE25'!G24</f>
        <v>0</v>
      </c>
      <c r="E23" s="95">
        <f>'DOE25'!H24</f>
        <v>628.75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767.35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1950.32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4643.0200000000004</v>
      </c>
      <c r="D31" s="41">
        <f>SUM(D21:D30)</f>
        <v>73.14</v>
      </c>
      <c r="E31" s="41">
        <f>SUM(E21:E30)</f>
        <v>2674.01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20524.54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1500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11110.46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204078.41999999998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19743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32353.46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224602.96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36996.479999999996</v>
      </c>
      <c r="D51" s="41">
        <f>D50+D31</f>
        <v>73.14</v>
      </c>
      <c r="E51" s="41">
        <f>E50+E31</f>
        <v>2674.01</v>
      </c>
      <c r="F51" s="41">
        <f>F50+F31</f>
        <v>0</v>
      </c>
      <c r="G51" s="41">
        <f>G50+G31</f>
        <v>224602.96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268677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333.23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363.15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7704.22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5632.34</v>
      </c>
      <c r="D61" s="95">
        <f>SUM('DOE25'!G98:G110)</f>
        <v>941.5</v>
      </c>
      <c r="E61" s="95">
        <f>SUM('DOE25'!H98:H110)</f>
        <v>1998.56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5965.57</v>
      </c>
      <c r="D62" s="130">
        <f>SUM(D57:D61)</f>
        <v>8645.7200000000012</v>
      </c>
      <c r="E62" s="130">
        <f>SUM(E57:E61)</f>
        <v>1998.56</v>
      </c>
      <c r="F62" s="130">
        <f>SUM(F57:F61)</f>
        <v>0</v>
      </c>
      <c r="G62" s="130">
        <f>SUM(G57:G61)</f>
        <v>363.15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274642.57</v>
      </c>
      <c r="D63" s="22">
        <f>D56+D62</f>
        <v>8645.7200000000012</v>
      </c>
      <c r="E63" s="22">
        <f>E56+E62</f>
        <v>1998.56</v>
      </c>
      <c r="F63" s="22">
        <f>F56+F62</f>
        <v>0</v>
      </c>
      <c r="G63" s="22">
        <f>G56+G62</f>
        <v>363.15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13156.51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175775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188931.51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146.63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146.63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188931.51</v>
      </c>
      <c r="D81" s="130">
        <f>SUM(D79:D80)+D78+D70</f>
        <v>146.63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11587.03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0</v>
      </c>
      <c r="D88" s="95">
        <f>SUM('DOE25'!G153:G161)</f>
        <v>3319.5600000000004</v>
      </c>
      <c r="E88" s="95">
        <f>SUM('DOE25'!H153:H161)</f>
        <v>5592.13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4394.46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4394.46</v>
      </c>
      <c r="D91" s="131">
        <f>SUM(D85:D90)</f>
        <v>3319.5600000000004</v>
      </c>
      <c r="E91" s="131">
        <f>SUM(E85:E90)</f>
        <v>17179.16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11873.96</v>
      </c>
      <c r="E96" s="95">
        <f>'DOE25'!H179</f>
        <v>0</v>
      </c>
      <c r="F96" s="95">
        <f>'DOE25'!I179</f>
        <v>0</v>
      </c>
      <c r="G96" s="95">
        <f>'DOE25'!J179</f>
        <v>11000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4316.2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4316.2</v>
      </c>
      <c r="D103" s="86">
        <f>SUM(D93:D102)</f>
        <v>11873.96</v>
      </c>
      <c r="E103" s="86">
        <f>SUM(E93:E102)</f>
        <v>0</v>
      </c>
      <c r="F103" s="86">
        <f>SUM(F93:F102)</f>
        <v>0</v>
      </c>
      <c r="G103" s="86">
        <f>SUM(G93:G102)</f>
        <v>11000</v>
      </c>
    </row>
    <row r="104" spans="1:7" ht="12.75" thickTop="1" thickBot="1" x14ac:dyDescent="0.25">
      <c r="A104" s="33" t="s">
        <v>764</v>
      </c>
      <c r="C104" s="86">
        <f>C63+C81+C91+C103</f>
        <v>472284.74000000005</v>
      </c>
      <c r="D104" s="86">
        <f>D63+D81+D91+D103</f>
        <v>23985.87</v>
      </c>
      <c r="E104" s="86">
        <f>E63+E81+E91+E103</f>
        <v>19177.72</v>
      </c>
      <c r="F104" s="86">
        <f>F63+F81+F91+F103</f>
        <v>0</v>
      </c>
      <c r="G104" s="86">
        <f>G63+G81+G103</f>
        <v>11363.15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248521.98000000004</v>
      </c>
      <c r="D109" s="24" t="s">
        <v>288</v>
      </c>
      <c r="E109" s="95">
        <f>('DOE25'!L276)+('DOE25'!L295)+('DOE25'!L314)</f>
        <v>7900.14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11536.66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210.81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260269.45000000004</v>
      </c>
      <c r="D115" s="86">
        <f>SUM(D109:D114)</f>
        <v>0</v>
      </c>
      <c r="E115" s="86">
        <f>SUM(E109:E114)</f>
        <v>7900.14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26510.6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1260</v>
      </c>
      <c r="D119" s="24" t="s">
        <v>288</v>
      </c>
      <c r="E119" s="95">
        <f>+('DOE25'!L282)+('DOE25'!L301)+('DOE25'!L320)</f>
        <v>6876.6399999999994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59593.499999999993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56102.180000000008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31450.94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20015</v>
      </c>
      <c r="D124" s="24" t="s">
        <v>288</v>
      </c>
      <c r="E124" s="95">
        <f>+('DOE25'!L287)+('DOE25'!L306)+('DOE25'!L325)</f>
        <v>2208.75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24071.1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194932.22</v>
      </c>
      <c r="D128" s="86">
        <f>SUM(D118:D127)</f>
        <v>24071.1</v>
      </c>
      <c r="E128" s="86">
        <f>SUM(E118:E127)</f>
        <v>9085.39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11873.96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10067.15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1296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-363.14999999999964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2192.19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22873.96</v>
      </c>
      <c r="D144" s="141">
        <f>SUM(D130:D143)</f>
        <v>0</v>
      </c>
      <c r="E144" s="141">
        <f>SUM(E130:E143)</f>
        <v>2192.19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478075.63000000006</v>
      </c>
      <c r="D145" s="86">
        <f>(D115+D128+D144)</f>
        <v>24071.1</v>
      </c>
      <c r="E145" s="86">
        <f>(E115+E128+E144)</f>
        <v>19177.719999999998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Errol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32726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32726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256422</v>
      </c>
      <c r="D10" s="182">
        <f>ROUND((C10/$C$28)*100,1)</f>
        <v>52.4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11537</v>
      </c>
      <c r="D11" s="182">
        <f>ROUND((C11/$C$28)*100,1)</f>
        <v>2.4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211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26511</v>
      </c>
      <c r="D15" s="182">
        <f t="shared" ref="D15:D27" si="0">ROUND((C15/$C$28)*100,1)</f>
        <v>5.4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8137</v>
      </c>
      <c r="D16" s="182">
        <f t="shared" si="0"/>
        <v>1.7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59594</v>
      </c>
      <c r="D17" s="182">
        <f t="shared" si="0"/>
        <v>12.2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56102</v>
      </c>
      <c r="D18" s="182">
        <f t="shared" si="0"/>
        <v>11.5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31451</v>
      </c>
      <c r="D20" s="182">
        <f t="shared" si="0"/>
        <v>6.4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22224</v>
      </c>
      <c r="D21" s="182">
        <f t="shared" si="0"/>
        <v>4.5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2192.19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15425.279999999999</v>
      </c>
      <c r="D27" s="182">
        <f t="shared" si="0"/>
        <v>3.1</v>
      </c>
    </row>
    <row r="28" spans="1:4" x14ac:dyDescent="0.2">
      <c r="B28" s="187" t="s">
        <v>722</v>
      </c>
      <c r="C28" s="180">
        <f>SUM(C10:C27)</f>
        <v>489806.47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489806.47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268677</v>
      </c>
      <c r="D35" s="182">
        <f t="shared" ref="D35:D40" si="1">ROUND((C35/$C$41)*100,1)</f>
        <v>54.7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8327.2800000000279</v>
      </c>
      <c r="D36" s="182">
        <f t="shared" si="1"/>
        <v>1.7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188932</v>
      </c>
      <c r="D37" s="182">
        <f t="shared" si="1"/>
        <v>38.5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147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24893</v>
      </c>
      <c r="D39" s="182">
        <f t="shared" si="1"/>
        <v>5.0999999999999996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490976.28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Errol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2017-06-15T14:49:11Z</cp:lastPrinted>
  <dcterms:created xsi:type="dcterms:W3CDTF">1997-12-04T19:04:30Z</dcterms:created>
  <dcterms:modified xsi:type="dcterms:W3CDTF">2017-11-29T17:21:07Z</dcterms:modified>
</cp:coreProperties>
</file>