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F5" i="13"/>
  <c r="G5" i="13"/>
  <c r="L197" i="1"/>
  <c r="C10" i="10" s="1"/>
  <c r="L198" i="1"/>
  <c r="C110" i="2" s="1"/>
  <c r="L199" i="1"/>
  <c r="C111" i="2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C16" i="10" s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I369" i="1" s="1"/>
  <c r="H634" i="1" s="1"/>
  <c r="J634" i="1" s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E12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7" i="10"/>
  <c r="C21" i="10"/>
  <c r="L250" i="1"/>
  <c r="L332" i="1"/>
  <c r="L254" i="1"/>
  <c r="L268" i="1"/>
  <c r="L269" i="1"/>
  <c r="L349" i="1"/>
  <c r="L350" i="1"/>
  <c r="I665" i="1"/>
  <c r="I670" i="1"/>
  <c r="L229" i="1"/>
  <c r="L247" i="1"/>
  <c r="G661" i="1"/>
  <c r="F662" i="1"/>
  <c r="G662" i="1"/>
  <c r="H662" i="1"/>
  <c r="I669" i="1"/>
  <c r="C42" i="10"/>
  <c r="C32" i="10"/>
  <c r="L374" i="1"/>
  <c r="L375" i="1"/>
  <c r="L376" i="1"/>
  <c r="L377" i="1"/>
  <c r="L378" i="1"/>
  <c r="F130" i="2" s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E111" i="2"/>
  <c r="C112" i="2"/>
  <c r="E112" i="2"/>
  <c r="C113" i="2"/>
  <c r="E113" i="2"/>
  <c r="C114" i="2"/>
  <c r="E114" i="2"/>
  <c r="D115" i="2"/>
  <c r="F115" i="2"/>
  <c r="G115" i="2"/>
  <c r="E119" i="2"/>
  <c r="E120" i="2"/>
  <c r="C121" i="2"/>
  <c r="E121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H408" i="1" s="1"/>
  <c r="H644" i="1" s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I470" i="1"/>
  <c r="I476" i="1" s="1"/>
  <c r="H625" i="1" s="1"/>
  <c r="J470" i="1"/>
  <c r="F474" i="1"/>
  <c r="G474" i="1"/>
  <c r="G476" i="1" s="1"/>
  <c r="H623" i="1" s="1"/>
  <c r="J623" i="1" s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L524" i="1"/>
  <c r="F529" i="1"/>
  <c r="G529" i="1"/>
  <c r="H529" i="1"/>
  <c r="I529" i="1"/>
  <c r="I545" i="1" s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J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0" i="1"/>
  <c r="H640" i="1"/>
  <c r="G641" i="1"/>
  <c r="H641" i="1"/>
  <c r="G642" i="1"/>
  <c r="G643" i="1"/>
  <c r="H643" i="1"/>
  <c r="G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28" i="1"/>
  <c r="H660" i="1" s="1"/>
  <c r="L351" i="1"/>
  <c r="I662" i="1"/>
  <c r="L290" i="1"/>
  <c r="C70" i="2"/>
  <c r="A40" i="12"/>
  <c r="D62" i="2"/>
  <c r="D63" i="2" s="1"/>
  <c r="D18" i="13"/>
  <c r="C18" i="13" s="1"/>
  <c r="D15" i="13"/>
  <c r="C15" i="13" s="1"/>
  <c r="D18" i="2"/>
  <c r="D17" i="13"/>
  <c r="C17" i="13" s="1"/>
  <c r="D6" i="13"/>
  <c r="C6" i="13" s="1"/>
  <c r="C91" i="2"/>
  <c r="F78" i="2"/>
  <c r="F81" i="2" s="1"/>
  <c r="D31" i="2"/>
  <c r="C78" i="2"/>
  <c r="C81" i="2" s="1"/>
  <c r="D50" i="2"/>
  <c r="G157" i="2"/>
  <c r="G161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F112" i="1"/>
  <c r="J641" i="1"/>
  <c r="K605" i="1"/>
  <c r="G648" i="1" s="1"/>
  <c r="J571" i="1"/>
  <c r="K571" i="1"/>
  <c r="L433" i="1"/>
  <c r="L419" i="1"/>
  <c r="D81" i="2"/>
  <c r="I169" i="1"/>
  <c r="H169" i="1"/>
  <c r="G552" i="1"/>
  <c r="J643" i="1"/>
  <c r="H476" i="1"/>
  <c r="H624" i="1" s="1"/>
  <c r="J624" i="1" s="1"/>
  <c r="F476" i="1"/>
  <c r="H622" i="1" s="1"/>
  <c r="G338" i="1"/>
  <c r="G352" i="1" s="1"/>
  <c r="F169" i="1"/>
  <c r="J140" i="1"/>
  <c r="F571" i="1"/>
  <c r="H257" i="1"/>
  <c r="H271" i="1" s="1"/>
  <c r="I552" i="1"/>
  <c r="K550" i="1"/>
  <c r="G22" i="2"/>
  <c r="K545" i="1"/>
  <c r="J552" i="1"/>
  <c r="H140" i="1"/>
  <c r="L401" i="1"/>
  <c r="C139" i="2" s="1"/>
  <c r="L393" i="1"/>
  <c r="C138" i="2" s="1"/>
  <c r="F22" i="13"/>
  <c r="H25" i="13"/>
  <c r="C25" i="13" s="1"/>
  <c r="J651" i="1"/>
  <c r="J640" i="1"/>
  <c r="H571" i="1"/>
  <c r="L560" i="1"/>
  <c r="J545" i="1"/>
  <c r="H338" i="1"/>
  <c r="H352" i="1" s="1"/>
  <c r="F338" i="1"/>
  <c r="F352" i="1" s="1"/>
  <c r="G192" i="1"/>
  <c r="H192" i="1"/>
  <c r="L309" i="1"/>
  <c r="E16" i="13"/>
  <c r="J655" i="1"/>
  <c r="J645" i="1"/>
  <c r="L570" i="1"/>
  <c r="I571" i="1"/>
  <c r="G36" i="2"/>
  <c r="L565" i="1"/>
  <c r="K551" i="1"/>
  <c r="C22" i="13"/>
  <c r="C16" i="13"/>
  <c r="K503" i="1" l="1"/>
  <c r="E8" i="13"/>
  <c r="C8" i="13" s="1"/>
  <c r="A13" i="12"/>
  <c r="H545" i="1"/>
  <c r="L545" i="1"/>
  <c r="K549" i="1"/>
  <c r="K552" i="1" s="1"/>
  <c r="F552" i="1"/>
  <c r="J644" i="1"/>
  <c r="J639" i="1"/>
  <c r="C122" i="2"/>
  <c r="F661" i="1"/>
  <c r="I661" i="1" s="1"/>
  <c r="L362" i="1"/>
  <c r="C27" i="10" s="1"/>
  <c r="D145" i="2"/>
  <c r="H664" i="1"/>
  <c r="C29" i="10"/>
  <c r="L382" i="1"/>
  <c r="G636" i="1" s="1"/>
  <c r="J636" i="1" s="1"/>
  <c r="C15" i="10"/>
  <c r="H33" i="13"/>
  <c r="C132" i="2"/>
  <c r="D12" i="13"/>
  <c r="C12" i="13" s="1"/>
  <c r="C119" i="2"/>
  <c r="C109" i="2"/>
  <c r="C115" i="2" s="1"/>
  <c r="E33" i="13"/>
  <c r="D35" i="13" s="1"/>
  <c r="D7" i="13"/>
  <c r="C7" i="13" s="1"/>
  <c r="C118" i="2"/>
  <c r="L211" i="1"/>
  <c r="L257" i="1" s="1"/>
  <c r="L271" i="1" s="1"/>
  <c r="G632" i="1" s="1"/>
  <c r="J632" i="1" s="1"/>
  <c r="D5" i="13"/>
  <c r="C5" i="13" s="1"/>
  <c r="C62" i="2"/>
  <c r="C63" i="2" s="1"/>
  <c r="C104" i="2" s="1"/>
  <c r="G625" i="1"/>
  <c r="J625" i="1" s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H646" i="1" l="1"/>
  <c r="C128" i="2"/>
  <c r="C145" i="2" s="1"/>
  <c r="G635" i="1"/>
  <c r="J635" i="1" s="1"/>
  <c r="G672" i="1"/>
  <c r="C5" i="10" s="1"/>
  <c r="C28" i="10"/>
  <c r="D24" i="10" s="1"/>
  <c r="F660" i="1"/>
  <c r="I193" i="1"/>
  <c r="G630" i="1" s="1"/>
  <c r="J630" i="1" s="1"/>
  <c r="F51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 l="1"/>
  <c r="D10" i="10"/>
  <c r="D20" i="10"/>
  <c r="C30" i="10"/>
  <c r="D25" i="10"/>
  <c r="D26" i="10"/>
  <c r="D16" i="10"/>
  <c r="D15" i="10"/>
  <c r="D19" i="10"/>
  <c r="D13" i="10"/>
  <c r="D11" i="10"/>
  <c r="D21" i="10"/>
  <c r="D22" i="10"/>
  <c r="D27" i="10"/>
  <c r="D18" i="10"/>
  <c r="D17" i="10"/>
  <c r="D12" i="10"/>
  <c r="F664" i="1"/>
  <c r="I660" i="1"/>
  <c r="I664" i="1" s="1"/>
  <c r="I672" i="1" s="1"/>
  <c r="C7" i="10" s="1"/>
  <c r="H656" i="1"/>
  <c r="C41" i="10"/>
  <c r="D38" i="10" s="1"/>
  <c r="D28" i="10" l="1"/>
  <c r="F672" i="1"/>
  <c r="C4" i="10" s="1"/>
  <c r="F667" i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<sst xmlns="http://schemas.openxmlformats.org/spreadsheetml/2006/main" count="3957" uniqueCount="915">
  <si>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</si>
  <si>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</si>
  <si>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</si>
  <si>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</si>
  <si>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</si>
  <si>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</si>
  <si>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</si>
  <si>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</si>
  <si>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</si>
  <si>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</si>
  <si>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</si>
  <si>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</si>
  <si>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</si>
  <si>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</si>
  <si>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</si>
  <si>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</si>
  <si>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</si>
  <si>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</si>
  <si>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</si>
  <si>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</si>
  <si>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</si>
  <si>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</si>
  <si>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</si>
  <si>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</si>
  <si>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</si>
  <si>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</si>
  <si>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</si>
  <si>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</si>
  <si>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</si>
  <si>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</si>
  <si>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</si>
  <si>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</si>
  <si>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</si>
  <si>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</si>
  <si>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</si>
  <si>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</si>
  <si>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</si>
  <si>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</si>
  <si>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</si>
  <si>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</si>
  <si>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</si>
  <si>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</si>
  <si>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</si>
  <si>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</si>
  <si>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</si>
  <si>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</si>
  <si>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</si>
  <si>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</si>
  <si>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</si>
  <si>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</si>
  <si>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</si>
  <si>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</si>
  <si>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</si>
  <si>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</si>
  <si>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</si>
  <si>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</si>
  <si>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</si>
  <si>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</si>
  <si>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</si>
  <si>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</si>
  <si>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</si>
  <si>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</si>
  <si>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</si>
  <si>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</si>
  <si>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</si>
  <si>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</si>
  <si>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</si>
  <si>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</si>
  <si>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</si>
  <si>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</si>
  <si>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</si>
  <si>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</si>
  <si>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</si>
  <si>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</si>
  <si>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</si>
  <si>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</si>
  <si>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</si>
  <si>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</si>
  <si>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</si>
  <si>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</si>
  <si>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</si>
  <si>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</si>
  <si>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</si>
  <si>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</si>
  <si>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</si>
  <si>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</si>
  <si>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</si>
  <si>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</si>
  <si>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</si>
  <si>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</si>
  <si>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</si>
  <si>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</si>
  <si>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</si>
  <si>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</si>
  <si>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</si>
  <si>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</si>
  <si>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</si>
  <si>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</si>
  <si>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</si>
  <si>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</si>
  <si>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</si>
  <si>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</si>
  <si>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</si>
  <si>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</si>
  <si>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</si>
  <si>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</si>
  <si>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</si>
  <si>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</si>
  <si>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</si>
  <si>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</si>
  <si>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</si>
  <si>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</si>
  <si>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</si>
  <si>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</si>
  <si>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</si>
  <si>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</si>
  <si>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</si>
  <si>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</si>
  <si>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</si>
  <si>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</si>
  <si>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</si>
  <si>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</si>
  <si>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</si>
  <si>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</si>
  <si>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</si>
  <si>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</si>
  <si>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</si>
  <si>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</si>
  <si>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</si>
  <si>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</si>
  <si>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</si>
  <si>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</si>
  <si>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</si>
  <si>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</si>
  <si>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</si>
  <si>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</si>
  <si>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</si>
  <si>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</si>
  <si>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</si>
  <si>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</si>
  <si>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</si>
  <si>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</si>
  <si>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</si>
  <si>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</si>
  <si>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</si>
  <si>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</si>
  <si>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</si>
  <si>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</si>
  <si>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</si>
  <si>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</si>
  <si>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</si>
  <si>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</si>
  <si>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</si>
  <si>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</si>
  <si>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</si>
  <si>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</si>
  <si>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</si>
  <si>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</si>
  <si>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</si>
  <si>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</si>
  <si>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</si>
  <si>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</si>
  <si>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</si>
  <si>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</si>
  <si>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</si>
  <si>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</si>
  <si>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</si>
  <si>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</si>
  <si>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</si>
  <si>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</si>
  <si>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</si>
  <si>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</si>
  <si>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</si>
  <si>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</si>
  <si>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</si>
  <si>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</si>
  <si>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</si>
  <si>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</si>
  <si>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</si>
  <si>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</si>
  <si>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</si>
  <si>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</si>
  <si>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</si>
  <si>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</si>
  <si>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</si>
  <si>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</si>
  <si>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</si>
  <si>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</si>
  <si>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</si>
  <si>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</si>
  <si>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</si>
  <si>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</si>
  <si>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</si>
  <si>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</si>
  <si>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</si>
  <si>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</si>
  <si>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</si>
  <si>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</si>
  <si>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</si>
  <si>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</si>
  <si>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</si>
  <si>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</si>
  <si>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</si>
  <si>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</si>
  <si>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</si>
  <si>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</si>
  <si>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</si>
  <si>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</si>
  <si>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</si>
  <si>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</si>
  <si>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</si>
  <si>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</si>
  <si>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</si>
  <si>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</si>
  <si>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</si>
  <si>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</si>
  <si>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</si>
  <si>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</si>
  <si>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</si>
  <si>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</si>
  <si>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</si>
  <si>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</si>
  <si>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</si>
  <si>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</si>
  <si>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</si>
  <si>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</si>
  <si>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</si>
  <si>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</si>
  <si>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</si>
  <si>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</si>
  <si>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</si>
  <si>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</si>
  <si>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</si>
  <si>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</si>
  <si>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</si>
  <si>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</si>
  <si>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</si>
  <si>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</si>
  <si>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</si>
  <si>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</si>
  <si>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</si>
  <si>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</si>
  <si>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</si>
  <si>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</si>
  <si>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</si>
  <si>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</si>
  <si>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</si>
  <si>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</si>
  <si>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</si>
  <si>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</si>
  <si>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</si>
  <si>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</si>
  <si>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</si>
  <si>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</si>
  <si>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</si>
  <si>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</si>
  <si>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</si>
  <si>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</si>
  <si>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</si>
  <si>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</si>
  <si>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</si>
  <si>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</si>
  <si>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</si>
  <si>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</si>
  <si>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</si>
  <si>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</si>
  <si>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</si>
  <si>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</si>
  <si>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</si>
  <si>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</si>
  <si>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</si>
  <si>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</si>
  <si>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</si>
  <si>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</si>
  <si>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</si>
  <si>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</si>
  <si>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</si>
  <si>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</si>
  <si>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</si>
  <si>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</si>
  <si>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</si>
  <si>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</si>
  <si>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</si>
  <si>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</si>
  <si>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</si>
  <si>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</si>
  <si>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</si>
  <si>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</si>
  <si>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</si>
  <si>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</si>
  <si>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</si>
  <si>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</si>
  <si>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</si>
  <si>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</si>
  <si>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</si>
  <si>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</si>
  <si>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</si>
  <si>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</si>
  <si>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</si>
  <si>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</si>
  <si>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</si>
  <si>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</si>
  <si>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</si>
  <si>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</si>
  <si>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</si>
  <si>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</si>
  <si>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</si>
  <si>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</si>
  <si>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</si>
  <si>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</si>
  <si>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</si>
  <si>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</si>
  <si>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</si>
  <si>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</si>
  <si>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</si>
  <si>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</si>
  <si>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</si>
  <si>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</si>
  <si>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</si>
  <si>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</si>
  <si>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</si>
  <si>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</si>
  <si>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</si>
  <si>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</si>
  <si>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</si>
  <si>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</si>
  <si>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</si>
  <si>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</si>
  <si>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</si>
  <si>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</si>
  <si>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</si>
  <si>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</si>
  <si>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</si>
  <si>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</si>
  <si>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</si>
  <si>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</si>
  <si>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</si>
  <si>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</si>
  <si>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</si>
  <si>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</si>
  <si>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</si>
  <si>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</si>
  <si>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</si>
  <si>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</si>
  <si>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</si>
  <si>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</si>
  <si>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</si>
  <si>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</si>
  <si>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</si>
  <si>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</si>
  <si>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</si>
  <si>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</si>
  <si>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</si>
  <si>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</si>
  <si>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</si>
  <si>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</si>
  <si>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</si>
  <si>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</si>
  <si>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</si>
  <si>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</si>
  <si>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</si>
  <si>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</si>
  <si>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</si>
  <si>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</si>
  <si>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</si>
  <si>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</si>
  <si>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</si>
  <si>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</si>
  <si>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</si>
  <si>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</si>
  <si>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</si>
  <si>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</si>
  <si>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</si>
  <si>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</si>
  <si>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</si>
  <si>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</si>
  <si>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</si>
  <si>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</si>
  <si>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</si>
  <si>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</si>
  <si>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</si>
  <si>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</si>
  <si>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</si>
  <si>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</si>
  <si>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</si>
  <si>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</si>
  <si>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</si>
  <si>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</si>
  <si>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</si>
  <si>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</si>
  <si>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</si>
  <si>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</si>
  <si>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</si>
  <si>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</si>
  <si>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</si>
  <si>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</si>
  <si>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</si>
  <si>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</si>
  <si>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</si>
  <si>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</si>
  <si>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</si>
  <si>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</si>
  <si>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</si>
  <si>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</si>
  <si>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</si>
  <si>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</si>
  <si>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</si>
  <si>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</si>
  <si>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</si>
  <si>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</si>
  <si>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</si>
  <si>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</si>
  <si>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</si>
  <si>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</si>
  <si>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</si>
  <si>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</si>
  <si>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</si>
  <si>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</si>
  <si>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</si>
  <si>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</si>
  <si>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</si>
  <si>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</si>
  <si>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</si>
  <si>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</si>
  <si>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</si>
  <si>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</si>
  <si>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</si>
  <si>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</si>
  <si>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</si>
  <si>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</si>
  <si>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</si>
  <si>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</si>
  <si>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</si>
  <si>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</si>
  <si>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</si>
  <si>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</si>
  <si>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</si>
  <si>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</si>
  <si>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</si>
  <si>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</si>
  <si>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</si>
  <si>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</si>
  <si>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</si>
  <si>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</si>
  <si>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</si>
  <si>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</si>
  <si>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</si>
  <si>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</si>
  <si>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</si>
  <si>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</si>
  <si>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</si>
  <si>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</si>
  <si>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</si>
  <si>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</si>
  <si>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</si>
  <si>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</si>
  <si>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</si>
  <si>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</si>
  <si>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</si>
  <si>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</si>
  <si>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</si>
  <si>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</si>
  <si>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</si>
  <si>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</si>
  <si>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</si>
  <si>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</si>
  <si>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</si>
  <si>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</si>
  <si>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</si>
  <si>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</si>
  <si>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</si>
  <si>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</si>
  <si>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</si>
  <si>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</si>
  <si>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</si>
  <si>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</si>
  <si>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</si>
  <si>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</si>
  <si>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</si>
  <si>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</si>
  <si>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</si>
  <si>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</si>
  <si>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</si>
  <si>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</si>
  <si>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</si>
  <si>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</si>
  <si>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</si>
  <si>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</si>
  <si>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</si>
  <si>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</si>
  <si>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</si>
  <si>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</si>
  <si>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</si>
  <si>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</si>
  <si>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</si>
  <si>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</si>
  <si>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</si>
  <si>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</si>
  <si>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</si>
  <si>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</si>
  <si>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</si>
  <si>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</si>
  <si>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</si>
  <si>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</si>
  <si>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</si>
  <si>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</si>
  <si>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</si>
  <si>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</si>
  <si>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</si>
  <si>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</si>
  <si>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</si>
  <si>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</si>
  <si>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</si>
  <si>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</si>
  <si>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</si>
  <si>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</si>
  <si>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</si>
  <si>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</si>
  <si>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</si>
  <si>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</si>
  <si>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</si>
  <si>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</si>
  <si>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</si>
  <si>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</si>
  <si>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</si>
  <si>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</si>
  <si>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</si>
  <si>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</si>
  <si>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</si>
  <si>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</si>
  <si>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</si>
  <si>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</si>
  <si>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</si>
  <si>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</si>
  <si>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</si>
  <si>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</si>
  <si>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</si>
  <si>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</si>
  <si>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</si>
  <si>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</si>
  <si>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</si>
  <si>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</si>
  <si>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</si>
  <si>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</si>
  <si>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</si>
  <si>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</si>
  <si>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</si>
  <si>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</si>
  <si>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</si>
  <si>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</si>
  <si>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</si>
  <si>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</si>
  <si>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</si>
  <si>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</si>
  <si>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</si>
  <si>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</si>
  <si>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</si>
  <si>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</si>
  <si>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</si>
  <si>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</si>
  <si>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</si>
  <si>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</si>
  <si>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</si>
  <si>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</si>
  <si>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</si>
  <si>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</si>
  <si>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</si>
  <si>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</si>
  <si>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</si>
  <si>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</si>
  <si>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</si>
  <si>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</si>
  <si>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</si>
  <si>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</si>
  <si>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</si>
  <si>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</si>
  <si>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</si>
  <si>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</si>
  <si>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</si>
  <si>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</si>
  <si>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</si>
  <si>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</si>
  <si>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</si>
  <si>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</si>
  <si>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</si>
  <si>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</si>
  <si>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</si>
  <si>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</si>
  <si>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</si>
  <si>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</si>
  <si>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</si>
  <si>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</si>
  <si>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</si>
  <si>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</si>
  <si>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</si>
  <si>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</si>
  <si>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</si>
  <si>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</si>
  <si>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</si>
  <si>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</si>
  <si>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</si>
  <si>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</si>
  <si>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</si>
  <si>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</si>
  <si>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</si>
  <si>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</si>
  <si>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</si>
  <si>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</si>
  <si>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</si>
  <si>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</si>
  <si>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</si>
  <si>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</si>
  <si>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</si>
  <si>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</si>
  <si>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</si>
  <si>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</si>
  <si>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</si>
  <si>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</si>
  <si>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</si>
  <si>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</si>
  <si>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</si>
  <si>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</si>
  <si>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</si>
  <si>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</si>
  <si>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</si>
  <si>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</si>
  <si>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</si>
  <si>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</si>
  <si>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</si>
  <si>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</si>
  <si>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</si>
  <si>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</si>
  <si>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</si>
  <si>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</si>
  <si>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</si>
  <si>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</si>
  <si>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</si>
  <si>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</si>
  <si>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</si>
  <si>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</si>
  <si>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</si>
  <si>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</si>
  <si>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</si>
  <si>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</si>
  <si>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</si>
  <si>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</si>
  <si>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</si>
  <si>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</si>
  <si>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</si>
  <si>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</si>
  <si>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</si>
  <si>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</si>
  <si>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</si>
  <si>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</si>
  <si>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</si>
  <si>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</si>
  <si>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</si>
  <si>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</si>
  <si>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</si>
  <si>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</si>
  <si>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</si>
  <si>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</si>
  <si>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</si>
  <si>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</si>
  <si>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</si>
  <si>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</si>
  <si>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</si>
  <si>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</si>
  <si>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</si>
  <si>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</si>
  <si>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</si>
  <si>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</si>
  <si>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</si>
  <si>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</si>
  <si>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</si>
  <si>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</si>
  <si>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</si>
  <si>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</si>
  <si>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</si>
  <si>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</si>
  <si>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</si>
  <si>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</si>
  <si>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</si>
  <si>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</si>
  <si>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</si>
  <si>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</si>
  <si>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</si>
  <si>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</si>
  <si>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</si>
  <si>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</si>
  <si>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</si>
  <si>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</si>
  <si>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</si>
  <si>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</si>
  <si>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</si>
  <si>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</si>
  <si>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</si>
  <si>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</si>
  <si>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</si>
  <si>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</si>
  <si>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</si>
  <si>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</si>
  <si>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</si>
  <si>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</si>
  <si>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</si>
  <si>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</si>
  <si>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</si>
  <si>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</si>
  <si>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</si>
  <si>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</si>
  <si>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</si>
  <si>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</si>
  <si>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</si>
  <si>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</si>
  <si>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</si>
  <si>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</si>
  <si>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</si>
  <si>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</si>
  <si>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</si>
  <si>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</si>
  <si>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</si>
  <si>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</si>
  <si>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</si>
  <si>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</si>
  <si>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</si>
  <si>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</si>
  <si>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</si>
  <si>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</si>
  <si>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</si>
  <si>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</si>
  <si>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</si>
  <si>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</si>
  <si>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</si>
  <si>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</si>
  <si>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</si>
  <si>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</si>
  <si>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</si>
  <si>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</si>
  <si>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</si>
  <si>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</si>
  <si>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</si>
  <si>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</si>
  <si>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</si>
  <si>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</si>
  <si>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</si>
  <si>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</si>
  <si>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</si>
  <si>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</si>
  <si>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</si>
  <si>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</si>
  <si>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</si>
  <si>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</si>
  <si>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</si>
  <si>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</si>
  <si>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</si>
  <si>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</si>
  <si>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</si>
  <si>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</si>
  <si>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</si>
  <si>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</si>
  <si>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</si>
  <si>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</si>
  <si>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</si>
  <si>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</si>
  <si>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</si>
  <si>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</si>
  <si>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</si>
  <si>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</si>
  <si>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</si>
  <si>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</si>
  <si>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</si>
  <si>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</si>
  <si>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</si>
  <si>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</si>
  <si>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</si>
  <si>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</si>
  <si>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</si>
  <si>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</si>
  <si>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</si>
  <si>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</si>
  <si>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</si>
  <si>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</si>
  <si>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</si>
  <si>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</si>
  <si>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</si>
  <si>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</si>
  <si>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</si>
  <si>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</si>
  <si>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</si>
  <si>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</si>
  <si>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</si>
  <si>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</si>
  <si>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</si>
  <si>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</si>
  <si>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</si>
  <si>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</si>
  <si>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</si>
  <si>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</si>
  <si>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</si>
  <si>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</si>
  <si>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</si>
  <si>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</si>
  <si>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</si>
  <si>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</si>
  <si>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</si>
  <si>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</si>
  <si>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</si>
  <si>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</si>
  <si>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</si>
  <si>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</si>
  <si>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</si>
  <si>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</si>
  <si>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</si>
  <si>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</si>
  <si>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</si>
  <si>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</si>
  <si>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</si>
  <si>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</si>
  <si>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</si>
  <si>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</si>
  <si>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</si>
  <si>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</si>
  <si>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</si>
  <si>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</si>
  <si>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</si>
  <si>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</si>
  <si>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</si>
  <si>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</si>
  <si>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</si>
  <si>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</si>
  <si>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</si>
  <si>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</si>
  <si>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</si>
  <si>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</si>
  <si>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</si>
  <si>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</si>
  <si>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</si>
  <si>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</si>
  <si>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</si>
  <si>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</si>
  <si>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</si>
  <si>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</si>
  <si>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</si>
  <si>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</si>
  <si>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</si>
  <si>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</si>
  <si>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</si>
  <si>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</si>
  <si>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</si>
  <si>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</si>
  <si>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</si>
  <si>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</si>
  <si>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</si>
  <si>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</si>
  <si>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</si>
  <si>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</si>
  <si>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</si>
  <si>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</si>
  <si>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</si>
  <si>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</si>
  <si>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</si>
  <si>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</si>
  <si>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</si>
  <si>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</si>
  <si>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</si>
  <si>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</si>
  <si>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</si>
  <si>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</si>
  <si>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</si>
  <si>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</si>
  <si>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</si>
  <si>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</si>
  <si>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</si>
  <si>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</si>
  <si>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</si>
  <si>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</si>
  <si>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</si>
  <si>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</si>
  <si>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</si>
  <si>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</si>
  <si>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</si>
  <si>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</si>
  <si>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</si>
  <si>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</si>
  <si>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</si>
  <si>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</si>
  <si>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</si>
  <si>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</si>
  <si>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</si>
  <si>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</si>
  <si>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</si>
  <si>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</si>
  <si>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</si>
  <si>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</si>
  <si>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</si>
  <si>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</si>
  <si>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</si>
  <si>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</si>
  <si>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</si>
  <si>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</si>
  <si>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</si>
  <si>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</si>
  <si>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</si>
  <si>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</si>
  <si>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</si>
  <si>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</si>
  <si>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</si>
  <si>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</si>
  <si>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</si>
  <si>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</si>
  <si>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</si>
  <si>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</si>
  <si>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EXETER SCHOOL DISTRICT</t>
  </si>
  <si>
    <t>06/16</t>
  </si>
  <si>
    <t>08/26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</si>
</sst>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173</v>
      </c>
      <c r="C2" s="21">
        <v>173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115218.64</v>
      </c>
      <c r="G9" s="18"/>
      <c r="H9" s="18"/>
      <c r="I9" s="18"/>
      <c r="J9" s="67">
        <f>SUM(I439)</f>
        <v>215695.33000000002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602226.43999999994</v>
      </c>
      <c r="G10" s="18"/>
      <c r="H10" s="18"/>
      <c r="I10" s="18">
        <v>4915050.37</v>
      </c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259762.79</v>
      </c>
      <c r="G12" s="18"/>
      <c r="H12" s="18">
        <v>10973.19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107923.56</v>
      </c>
      <c r="G13" s="18"/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380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1085511.43</v>
      </c>
      <c r="G19" s="41">
        <f>SUM(G9:G18)</f>
        <v>0</v>
      </c>
      <c r="H19" s="41">
        <f>SUM(H9:H18)</f>
        <v>10973.19</v>
      </c>
      <c r="I19" s="41">
        <f>SUM(I9:I18)</f>
        <v>4915050.37</v>
      </c>
      <c r="J19" s="41">
        <f>SUM(J9:J18)</f>
        <v>215695.33000000002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10973.19</v>
      </c>
      <c r="G22" s="18"/>
      <c r="H22" s="18"/>
      <c r="I22" s="18">
        <v>259762.79</v>
      </c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483974.84</v>
      </c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26338.400000000001</v>
      </c>
      <c r="G24" s="18"/>
      <c r="H24" s="18"/>
      <c r="I24" s="18">
        <v>367403.37</v>
      </c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20565.75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20.440000000000001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16541.2</v>
      </c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558413.81999999995</v>
      </c>
      <c r="G32" s="41">
        <f>SUM(G22:G31)</f>
        <v>0</v>
      </c>
      <c r="H32" s="41">
        <f>SUM(H22:H31)</f>
        <v>0</v>
      </c>
      <c r="I32" s="41">
        <f>SUM(I22:I31)</f>
        <v>627166.16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43096</v>
      </c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10973.19</v>
      </c>
      <c r="I48" s="18">
        <v>4287884.21</v>
      </c>
      <c r="J48" s="13">
        <f>SUM(I459)</f>
        <v>215695.33000000002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484001.61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527097.61</v>
      </c>
      <c r="G51" s="41">
        <f>SUM(G35:G50)</f>
        <v>0</v>
      </c>
      <c r="H51" s="41">
        <f>SUM(H35:H50)</f>
        <v>10973.19</v>
      </c>
      <c r="I51" s="41">
        <f>SUM(I35:I50)</f>
        <v>4287884.21</v>
      </c>
      <c r="J51" s="41">
        <f>SUM(J35:J50)</f>
        <v>215695.33000000002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1085511.43</v>
      </c>
      <c r="G52" s="41">
        <f>G51+G32</f>
        <v>0</v>
      </c>
      <c r="H52" s="41">
        <f>H51+H32</f>
        <v>10973.19</v>
      </c>
      <c r="I52" s="41">
        <f>I51+I32</f>
        <v>4915050.37</v>
      </c>
      <c r="J52" s="41">
        <f>J51+J32</f>
        <v>215695.33000000002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12367256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12367256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11867.5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3550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15417.5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3701.71</v>
      </c>
      <c r="G96" s="18">
        <v>18.54</v>
      </c>
      <c r="H96" s="18"/>
      <c r="I96" s="18">
        <v>15068.37</v>
      </c>
      <c r="J96" s="18">
        <v>6443.46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165758.92000000001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12342</v>
      </c>
      <c r="G98" s="24" t="s">
        <v>288</v>
      </c>
      <c r="H98" s="18">
        <v>18260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51856.160000000003</v>
      </c>
      <c r="G110" s="18">
        <v>1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67899.87</v>
      </c>
      <c r="G111" s="41">
        <f>SUM(G96:G110)</f>
        <v>165778.46000000002</v>
      </c>
      <c r="H111" s="41">
        <f>SUM(H96:H110)</f>
        <v>18260</v>
      </c>
      <c r="I111" s="41">
        <f>SUM(I96:I110)</f>
        <v>15068.37</v>
      </c>
      <c r="J111" s="41">
        <f>SUM(J96:J110)</f>
        <v>6443.46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12450573.369999999</v>
      </c>
      <c r="G112" s="41">
        <f>G60+G111</f>
        <v>165778.46000000002</v>
      </c>
      <c r="H112" s="41">
        <f>H60+H79+H94+H111</f>
        <v>18260</v>
      </c>
      <c r="I112" s="41">
        <f>I60+I111</f>
        <v>15068.37</v>
      </c>
      <c r="J112" s="41">
        <f>J60+J111</f>
        <v>6443.46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2143842.4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1735571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3879413.4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41256.57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4495.87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41256.57</v>
      </c>
      <c r="G136" s="41">
        <f>SUM(G123:G135)</f>
        <v>4495.87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3920669.9699999997</v>
      </c>
      <c r="G140" s="41">
        <f>G121+SUM(G136:G137)</f>
        <v>4495.87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/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104189.88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102955.08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102955.08</v>
      </c>
      <c r="G162" s="41">
        <f>SUM(G150:G161)</f>
        <v>104189.88</v>
      </c>
      <c r="H162" s="41">
        <f>SUM(H150:H161)</f>
        <v>0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102955.08</v>
      </c>
      <c r="G169" s="41">
        <f>G147+G162+SUM(G163:G168)</f>
        <v>104189.88</v>
      </c>
      <c r="H169" s="41">
        <f>H147+H162+SUM(H163:H168)</f>
        <v>0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392022.74</v>
      </c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392022.74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392022.74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16866221.16</v>
      </c>
      <c r="G193" s="47">
        <f>G112+G140+G169+G192</f>
        <v>274464.21000000002</v>
      </c>
      <c r="H193" s="47">
        <f>H112+H140+H169+H192</f>
        <v>18260</v>
      </c>
      <c r="I193" s="47">
        <f>I112+I140+I169+I192</f>
        <v>15068.37</v>
      </c>
      <c r="J193" s="47">
        <f>J112+J140+J192</f>
        <v>6443.46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5251575.7300000004</v>
      </c>
      <c r="G197" s="18">
        <v>2049691.97</v>
      </c>
      <c r="H197" s="18">
        <v>315</v>
      </c>
      <c r="I197" s="18">
        <v>168922.72</v>
      </c>
      <c r="J197" s="18"/>
      <c r="K197" s="18"/>
      <c r="L197" s="19">
        <f>SUM(F197:K197)</f>
        <v>7470505.4199999999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2560746.29</v>
      </c>
      <c r="G198" s="18">
        <v>999460.24</v>
      </c>
      <c r="H198" s="18">
        <v>156935.87</v>
      </c>
      <c r="I198" s="18">
        <v>14377.79</v>
      </c>
      <c r="J198" s="18">
        <v>11191.15</v>
      </c>
      <c r="K198" s="18"/>
      <c r="L198" s="19">
        <f>SUM(F198:K198)</f>
        <v>3742711.3400000003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58110.78</v>
      </c>
      <c r="G200" s="18">
        <v>22680.66</v>
      </c>
      <c r="H200" s="18"/>
      <c r="I200" s="18">
        <v>526.66</v>
      </c>
      <c r="J200" s="18"/>
      <c r="K200" s="18"/>
      <c r="L200" s="19">
        <f>SUM(F200:K200)</f>
        <v>81318.100000000006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1168906.47</v>
      </c>
      <c r="G202" s="18">
        <v>456224.63</v>
      </c>
      <c r="H202" s="18">
        <v>16314</v>
      </c>
      <c r="I202" s="18">
        <v>7409.25</v>
      </c>
      <c r="J202" s="18"/>
      <c r="K202" s="18"/>
      <c r="L202" s="19">
        <f t="shared" ref="L202:L208" si="0">SUM(F202:K202)</f>
        <v>1648854.35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514835.26</v>
      </c>
      <c r="G203" s="18">
        <v>200940.4</v>
      </c>
      <c r="H203" s="18">
        <v>53930.07</v>
      </c>
      <c r="I203" s="18">
        <v>19833.18</v>
      </c>
      <c r="J203" s="18"/>
      <c r="K203" s="18"/>
      <c r="L203" s="19">
        <f t="shared" si="0"/>
        <v>789538.91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7557.5</v>
      </c>
      <c r="G204" s="18">
        <v>2949.7</v>
      </c>
      <c r="H204" s="18">
        <v>367551.96</v>
      </c>
      <c r="I204" s="18"/>
      <c r="J204" s="18"/>
      <c r="K204" s="18"/>
      <c r="L204" s="19">
        <f t="shared" si="0"/>
        <v>378059.16000000003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588662.85</v>
      </c>
      <c r="G205" s="18">
        <v>229755.33</v>
      </c>
      <c r="H205" s="18">
        <v>37954.870000000003</v>
      </c>
      <c r="I205" s="18">
        <v>15801.48</v>
      </c>
      <c r="J205" s="18">
        <v>213.54</v>
      </c>
      <c r="K205" s="18">
        <v>3302</v>
      </c>
      <c r="L205" s="19">
        <f t="shared" si="0"/>
        <v>875690.07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>
        <v>145611</v>
      </c>
      <c r="H206" s="18"/>
      <c r="I206" s="18"/>
      <c r="J206" s="18"/>
      <c r="K206" s="18"/>
      <c r="L206" s="19">
        <f t="shared" si="0"/>
        <v>145611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373074.2</v>
      </c>
      <c r="G207" s="18"/>
      <c r="H207" s="18">
        <v>229565.65</v>
      </c>
      <c r="I207" s="18">
        <v>212926.47</v>
      </c>
      <c r="J207" s="18">
        <v>27222.92</v>
      </c>
      <c r="K207" s="18"/>
      <c r="L207" s="19">
        <f t="shared" si="0"/>
        <v>842789.24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531426.26</v>
      </c>
      <c r="I208" s="18"/>
      <c r="J208" s="18"/>
      <c r="K208" s="18"/>
      <c r="L208" s="19">
        <f t="shared" si="0"/>
        <v>531426.26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10523469.08</v>
      </c>
      <c r="G211" s="41">
        <f t="shared" si="1"/>
        <v>4107313.93</v>
      </c>
      <c r="H211" s="41">
        <f t="shared" si="1"/>
        <v>1393993.6800000002</v>
      </c>
      <c r="I211" s="41">
        <f t="shared" si="1"/>
        <v>439797.55000000005</v>
      </c>
      <c r="J211" s="41">
        <f t="shared" si="1"/>
        <v>38627.61</v>
      </c>
      <c r="K211" s="41">
        <f t="shared" si="1"/>
        <v>3302</v>
      </c>
      <c r="L211" s="41">
        <f t="shared" si="1"/>
        <v>16506503.85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10523469.08</v>
      </c>
      <c r="G257" s="41">
        <f t="shared" si="8"/>
        <v>4107313.93</v>
      </c>
      <c r="H257" s="41">
        <f t="shared" si="8"/>
        <v>1393993.6800000002</v>
      </c>
      <c r="I257" s="41">
        <f t="shared" si="8"/>
        <v>439797.55000000005</v>
      </c>
      <c r="J257" s="41">
        <f t="shared" si="8"/>
        <v>38627.61</v>
      </c>
      <c r="K257" s="41">
        <f t="shared" si="8"/>
        <v>3302</v>
      </c>
      <c r="L257" s="41">
        <f t="shared" si="8"/>
        <v>16506503.85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131754.20000000001</v>
      </c>
      <c r="L261" s="19">
        <f>SUM(F261:K261)</f>
        <v>131754.20000000001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131754.20000000001</v>
      </c>
      <c r="L270" s="41">
        <f t="shared" si="9"/>
        <v>131754.20000000001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10523469.08</v>
      </c>
      <c r="G271" s="42">
        <f t="shared" si="11"/>
        <v>4107313.93</v>
      </c>
      <c r="H271" s="42">
        <f t="shared" si="11"/>
        <v>1393993.6800000002</v>
      </c>
      <c r="I271" s="42">
        <f t="shared" si="11"/>
        <v>439797.55000000005</v>
      </c>
      <c r="J271" s="42">
        <f t="shared" si="11"/>
        <v>38627.61</v>
      </c>
      <c r="K271" s="42">
        <f t="shared" si="11"/>
        <v>135056.20000000001</v>
      </c>
      <c r="L271" s="42">
        <f t="shared" si="11"/>
        <v>16638258.049999999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13980</v>
      </c>
      <c r="G281" s="18">
        <v>2915.29</v>
      </c>
      <c r="H281" s="18"/>
      <c r="I281" s="18">
        <v>223.92</v>
      </c>
      <c r="J281" s="18"/>
      <c r="K281" s="18"/>
      <c r="L281" s="19">
        <f t="shared" ref="L281:L287" si="12">SUM(F281:K281)</f>
        <v>17119.21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13980</v>
      </c>
      <c r="G290" s="42">
        <f t="shared" si="13"/>
        <v>2915.29</v>
      </c>
      <c r="H290" s="42">
        <f t="shared" si="13"/>
        <v>0</v>
      </c>
      <c r="I290" s="42">
        <f t="shared" si="13"/>
        <v>223.92</v>
      </c>
      <c r="J290" s="42">
        <f t="shared" si="13"/>
        <v>0</v>
      </c>
      <c r="K290" s="42">
        <f t="shared" si="13"/>
        <v>0</v>
      </c>
      <c r="L290" s="41">
        <f t="shared" si="13"/>
        <v>17119.21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13980</v>
      </c>
      <c r="G338" s="41">
        <f t="shared" si="20"/>
        <v>2915.29</v>
      </c>
      <c r="H338" s="41">
        <f t="shared" si="20"/>
        <v>0</v>
      </c>
      <c r="I338" s="41">
        <f t="shared" si="20"/>
        <v>223.92</v>
      </c>
      <c r="J338" s="41">
        <f t="shared" si="20"/>
        <v>0</v>
      </c>
      <c r="K338" s="41">
        <f t="shared" si="20"/>
        <v>0</v>
      </c>
      <c r="L338" s="41">
        <f t="shared" si="20"/>
        <v>17119.21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13980</v>
      </c>
      <c r="G352" s="41">
        <f>G338</f>
        <v>2915.29</v>
      </c>
      <c r="H352" s="41">
        <f>H338</f>
        <v>0</v>
      </c>
      <c r="I352" s="41">
        <f>I338</f>
        <v>223.92</v>
      </c>
      <c r="J352" s="41">
        <f>J338</f>
        <v>0</v>
      </c>
      <c r="K352" s="47">
        <f>K338+K351</f>
        <v>0</v>
      </c>
      <c r="L352" s="41">
        <f>L338+L351</f>
        <v>17119.21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111052.87</v>
      </c>
      <c r="G358" s="18">
        <v>36266.370000000003</v>
      </c>
      <c r="H358" s="18">
        <v>19647.669999999998</v>
      </c>
      <c r="I358" s="18">
        <v>107497.3</v>
      </c>
      <c r="J358" s="18"/>
      <c r="K358" s="18"/>
      <c r="L358" s="13">
        <f>SUM(F358:K358)</f>
        <v>274464.20999999996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111052.87</v>
      </c>
      <c r="G362" s="47">
        <f t="shared" si="22"/>
        <v>36266.370000000003</v>
      </c>
      <c r="H362" s="47">
        <f t="shared" si="22"/>
        <v>19647.669999999998</v>
      </c>
      <c r="I362" s="47">
        <f t="shared" si="22"/>
        <v>107497.3</v>
      </c>
      <c r="J362" s="47">
        <f t="shared" si="22"/>
        <v>0</v>
      </c>
      <c r="K362" s="47">
        <f t="shared" si="22"/>
        <v>0</v>
      </c>
      <c r="L362" s="47">
        <f t="shared" si="22"/>
        <v>274464.20999999996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104791.22</v>
      </c>
      <c r="G367" s="18"/>
      <c r="H367" s="18"/>
      <c r="I367" s="56">
        <f>SUM(F367:H367)</f>
        <v>104791.22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2706.08</v>
      </c>
      <c r="G368" s="63"/>
      <c r="H368" s="63"/>
      <c r="I368" s="56">
        <f>SUM(F368:H368)</f>
        <v>2706.08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107497.3</v>
      </c>
      <c r="G369" s="47">
        <f>SUM(G367:G368)</f>
        <v>0</v>
      </c>
      <c r="H369" s="47">
        <f>SUM(H367:H368)</f>
        <v>0</v>
      </c>
      <c r="I369" s="47">
        <f>SUM(I367:I368)</f>
        <v>107497.3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>
        <v>280479.88</v>
      </c>
      <c r="I376" s="18"/>
      <c r="J376" s="18"/>
      <c r="K376" s="18"/>
      <c r="L376" s="13">
        <f t="shared" si="23"/>
        <v>280479.88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>
        <v>835082.66</v>
      </c>
      <c r="I378" s="18"/>
      <c r="J378" s="18">
        <v>284.12</v>
      </c>
      <c r="K378" s="18">
        <v>1352.5</v>
      </c>
      <c r="L378" s="13">
        <f t="shared" si="23"/>
        <v>836719.28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1115562.54</v>
      </c>
      <c r="I382" s="41">
        <f t="shared" si="24"/>
        <v>0</v>
      </c>
      <c r="J382" s="47">
        <f t="shared" si="24"/>
        <v>284.12</v>
      </c>
      <c r="K382" s="47">
        <f t="shared" si="24"/>
        <v>1352.5</v>
      </c>
      <c r="L382" s="47">
        <f t="shared" si="24"/>
        <v>1117199.1600000001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>
        <v>1589.62</v>
      </c>
      <c r="I388" s="18"/>
      <c r="J388" s="24" t="s">
        <v>288</v>
      </c>
      <c r="K388" s="24" t="s">
        <v>288</v>
      </c>
      <c r="L388" s="56">
        <f t="shared" si="25"/>
        <v>1589.62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>
        <v>2842.54</v>
      </c>
      <c r="I389" s="18"/>
      <c r="J389" s="24" t="s">
        <v>288</v>
      </c>
      <c r="K389" s="24" t="s">
        <v>288</v>
      </c>
      <c r="L389" s="56">
        <f t="shared" si="25"/>
        <v>2842.54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>
        <v>1332.33</v>
      </c>
      <c r="I392" s="18"/>
      <c r="J392" s="24" t="s">
        <v>288</v>
      </c>
      <c r="K392" s="24" t="s">
        <v>288</v>
      </c>
      <c r="L392" s="56">
        <f t="shared" si="25"/>
        <v>1332.33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5764.49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5764.49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>
        <v>678.97</v>
      </c>
      <c r="I395" s="18"/>
      <c r="J395" s="24" t="s">
        <v>288</v>
      </c>
      <c r="K395" s="24" t="s">
        <v>288</v>
      </c>
      <c r="L395" s="56">
        <f t="shared" ref="L395:L400" si="26">SUM(F395:K395)</f>
        <v>678.97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678.97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678.97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6443.46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6443.46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>
        <v>22789.02</v>
      </c>
      <c r="L414" s="56">
        <f t="shared" si="27"/>
        <v>22789.02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>
        <v>313546.46000000002</v>
      </c>
      <c r="L415" s="56">
        <f t="shared" si="27"/>
        <v>313546.46000000002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>
        <v>55687.26</v>
      </c>
      <c r="L418" s="56">
        <f t="shared" si="27"/>
        <v>55687.26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392022.74000000005</v>
      </c>
      <c r="L419" s="47">
        <f t="shared" si="28"/>
        <v>392022.74000000005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392022.74000000005</v>
      </c>
      <c r="L434" s="47">
        <f t="shared" si="32"/>
        <v>392022.74000000005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147122.51</v>
      </c>
      <c r="G439" s="18">
        <v>68572.820000000007</v>
      </c>
      <c r="H439" s="18"/>
      <c r="I439" s="56">
        <f t="shared" ref="I439:I445" si="33">SUM(F439:H439)</f>
        <v>215695.33000000002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147122.51</v>
      </c>
      <c r="G446" s="13">
        <f>SUM(G439:G445)</f>
        <v>68572.820000000007</v>
      </c>
      <c r="H446" s="13">
        <f>SUM(H439:H445)</f>
        <v>0</v>
      </c>
      <c r="I446" s="13">
        <f>SUM(I439:I445)</f>
        <v>215695.33000000002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147122.51</v>
      </c>
      <c r="G459" s="18">
        <v>68572.820000000007</v>
      </c>
      <c r="H459" s="18"/>
      <c r="I459" s="56">
        <f t="shared" si="34"/>
        <v>215695.33000000002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147122.51</v>
      </c>
      <c r="G460" s="83">
        <f>SUM(G454:G459)</f>
        <v>68572.820000000007</v>
      </c>
      <c r="H460" s="83">
        <f>SUM(H454:H459)</f>
        <v>0</v>
      </c>
      <c r="I460" s="83">
        <f>SUM(I454:I459)</f>
        <v>215695.33000000002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147122.51</v>
      </c>
      <c r="G461" s="42">
        <f>G452+G460</f>
        <v>68572.820000000007</v>
      </c>
      <c r="H461" s="42">
        <f>H452+H460</f>
        <v>0</v>
      </c>
      <c r="I461" s="42">
        <f>I452+I460</f>
        <v>215695.33000000002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299134.5</v>
      </c>
      <c r="G465" s="18"/>
      <c r="H465" s="18">
        <v>9832.4</v>
      </c>
      <c r="I465" s="18">
        <v>-9985</v>
      </c>
      <c r="J465" s="18">
        <v>601274.61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16866221.16</v>
      </c>
      <c r="G468" s="18">
        <v>274464.21000000002</v>
      </c>
      <c r="H468" s="18">
        <v>18260</v>
      </c>
      <c r="I468" s="18">
        <v>15068.37</v>
      </c>
      <c r="J468" s="18">
        <v>6443.46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>
        <v>5400000</v>
      </c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16866221.16</v>
      </c>
      <c r="G470" s="53">
        <f>SUM(G468:G469)</f>
        <v>274464.21000000002</v>
      </c>
      <c r="H470" s="53">
        <f>SUM(H468:H469)</f>
        <v>18260</v>
      </c>
      <c r="I470" s="53">
        <f>SUM(I468:I469)</f>
        <v>5415068.3700000001</v>
      </c>
      <c r="J470" s="53">
        <f>SUM(J468:J469)</f>
        <v>6443.46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16638258.050000001</v>
      </c>
      <c r="G472" s="18">
        <v>274464.21000000002</v>
      </c>
      <c r="H472" s="18">
        <v>17119.21</v>
      </c>
      <c r="I472" s="18">
        <v>1117199.1599999999</v>
      </c>
      <c r="J472" s="18">
        <v>392022.74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16638258.050000001</v>
      </c>
      <c r="G474" s="53">
        <f>SUM(G472:G473)</f>
        <v>274464.21000000002</v>
      </c>
      <c r="H474" s="53">
        <f>SUM(H472:H473)</f>
        <v>17119.21</v>
      </c>
      <c r="I474" s="53">
        <f>SUM(I472:I473)</f>
        <v>1117199.1599999999</v>
      </c>
      <c r="J474" s="53">
        <f>SUM(J472:J473)</f>
        <v>392022.74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527097.6099999994</v>
      </c>
      <c r="G476" s="53">
        <f>(G465+G470)- G474</f>
        <v>0</v>
      </c>
      <c r="H476" s="53">
        <f>(H465+H470)- H474</f>
        <v>10973.190000000002</v>
      </c>
      <c r="I476" s="53">
        <f>(I465+I470)- I474</f>
        <v>4287884.21</v>
      </c>
      <c r="J476" s="53">
        <f>(J465+J470)- J474</f>
        <v>215695.32999999996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4663225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5.0200000000000002E-2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4663225</v>
      </c>
      <c r="G495" s="18"/>
      <c r="H495" s="18"/>
      <c r="I495" s="18"/>
      <c r="J495" s="18"/>
      <c r="K495" s="53">
        <f>SUM(F495:J495)</f>
        <v>4663225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4663225</v>
      </c>
      <c r="G496" s="18"/>
      <c r="H496" s="18"/>
      <c r="I496" s="18"/>
      <c r="J496" s="18"/>
      <c r="K496" s="53">
        <f t="shared" ref="K496:K503" si="35">SUM(F496:J496)</f>
        <v>4663225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4663225</v>
      </c>
      <c r="G498" s="204"/>
      <c r="H498" s="204"/>
      <c r="I498" s="204"/>
      <c r="J498" s="204"/>
      <c r="K498" s="205">
        <f t="shared" si="35"/>
        <v>4663225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1103134.95</v>
      </c>
      <c r="G499" s="18"/>
      <c r="H499" s="18"/>
      <c r="I499" s="18"/>
      <c r="J499" s="18"/>
      <c r="K499" s="53">
        <f t="shared" si="35"/>
        <v>1103134.95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5766359.9500000002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5766359.9500000002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468225</v>
      </c>
      <c r="G501" s="204"/>
      <c r="H501" s="204"/>
      <c r="I501" s="204"/>
      <c r="J501" s="204"/>
      <c r="K501" s="205">
        <f t="shared" si="35"/>
        <v>468225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213041.45</v>
      </c>
      <c r="G502" s="18"/>
      <c r="H502" s="18"/>
      <c r="I502" s="18"/>
      <c r="J502" s="18"/>
      <c r="K502" s="53">
        <f t="shared" si="35"/>
        <v>213041.45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681266.45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681266.45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2534339.1</v>
      </c>
      <c r="G521" s="18">
        <v>989153.5</v>
      </c>
      <c r="H521" s="18">
        <v>156935.87</v>
      </c>
      <c r="I521" s="18">
        <v>14377.79</v>
      </c>
      <c r="J521" s="18">
        <v>11191.15</v>
      </c>
      <c r="K521" s="18"/>
      <c r="L521" s="88">
        <f>SUM(F521:K521)</f>
        <v>3705997.41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2534339.1</v>
      </c>
      <c r="G524" s="108">
        <f t="shared" ref="G524:L524" si="36">SUM(G521:G523)</f>
        <v>989153.5</v>
      </c>
      <c r="H524" s="108">
        <f t="shared" si="36"/>
        <v>156935.87</v>
      </c>
      <c r="I524" s="108">
        <f t="shared" si="36"/>
        <v>14377.79</v>
      </c>
      <c r="J524" s="108">
        <f t="shared" si="36"/>
        <v>11191.15</v>
      </c>
      <c r="K524" s="108">
        <f t="shared" si="36"/>
        <v>0</v>
      </c>
      <c r="L524" s="89">
        <f t="shared" si="36"/>
        <v>3705997.41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1168906.47</v>
      </c>
      <c r="G526" s="18">
        <v>456224.63</v>
      </c>
      <c r="H526" s="18">
        <v>16314</v>
      </c>
      <c r="I526" s="18">
        <v>7409.25</v>
      </c>
      <c r="J526" s="18"/>
      <c r="K526" s="18"/>
      <c r="L526" s="88">
        <f>SUM(F526:K526)</f>
        <v>1648854.35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1168906.47</v>
      </c>
      <c r="G529" s="89">
        <f t="shared" ref="G529:L529" si="37">SUM(G526:G528)</f>
        <v>456224.63</v>
      </c>
      <c r="H529" s="89">
        <f t="shared" si="37"/>
        <v>16314</v>
      </c>
      <c r="I529" s="89">
        <f t="shared" si="37"/>
        <v>7409.25</v>
      </c>
      <c r="J529" s="89">
        <f t="shared" si="37"/>
        <v>0</v>
      </c>
      <c r="K529" s="89">
        <f t="shared" si="37"/>
        <v>0</v>
      </c>
      <c r="L529" s="89">
        <f t="shared" si="37"/>
        <v>1648854.35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26407.19</v>
      </c>
      <c r="G531" s="18">
        <v>10298.799999999999</v>
      </c>
      <c r="H531" s="18"/>
      <c r="I531" s="18"/>
      <c r="J531" s="18"/>
      <c r="K531" s="18"/>
      <c r="L531" s="88">
        <f>SUM(F531:K531)</f>
        <v>36705.99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26407.19</v>
      </c>
      <c r="G534" s="89">
        <f t="shared" ref="G534:L534" si="38">SUM(G531:G533)</f>
        <v>10298.799999999999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36705.99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262.39999999999998</v>
      </c>
      <c r="I536" s="18"/>
      <c r="J536" s="18"/>
      <c r="K536" s="18"/>
      <c r="L536" s="88">
        <f>SUM(F536:K536)</f>
        <v>262.39999999999998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262.39999999999998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262.39999999999998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147839.06</v>
      </c>
      <c r="I541" s="18"/>
      <c r="J541" s="18"/>
      <c r="K541" s="18"/>
      <c r="L541" s="88">
        <f>SUM(F541:K541)</f>
        <v>147839.06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147839.06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147839.06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3729652.7600000002</v>
      </c>
      <c r="G545" s="89">
        <f t="shared" ref="G545:L545" si="41">G524+G529+G534+G539+G544</f>
        <v>1455676.93</v>
      </c>
      <c r="H545" s="89">
        <f t="shared" si="41"/>
        <v>321351.32999999996</v>
      </c>
      <c r="I545" s="89">
        <f t="shared" si="41"/>
        <v>21787.040000000001</v>
      </c>
      <c r="J545" s="89">
        <f t="shared" si="41"/>
        <v>11191.15</v>
      </c>
      <c r="K545" s="89">
        <f t="shared" si="41"/>
        <v>0</v>
      </c>
      <c r="L545" s="89">
        <f t="shared" si="41"/>
        <v>5539659.21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3705997.41</v>
      </c>
      <c r="G549" s="87">
        <f>L526</f>
        <v>1648854.35</v>
      </c>
      <c r="H549" s="87">
        <f>L531</f>
        <v>36705.99</v>
      </c>
      <c r="I549" s="87">
        <f>L536</f>
        <v>262.39999999999998</v>
      </c>
      <c r="J549" s="87">
        <f>L541</f>
        <v>147839.06</v>
      </c>
      <c r="K549" s="87">
        <f>SUM(F549:J549)</f>
        <v>5539659.21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3705997.41</v>
      </c>
      <c r="G552" s="89">
        <f t="shared" si="42"/>
        <v>1648854.35</v>
      </c>
      <c r="H552" s="89">
        <f t="shared" si="42"/>
        <v>36705.99</v>
      </c>
      <c r="I552" s="89">
        <f t="shared" si="42"/>
        <v>262.39999999999998</v>
      </c>
      <c r="J552" s="89">
        <f t="shared" si="42"/>
        <v>147839.06</v>
      </c>
      <c r="K552" s="89">
        <f t="shared" si="42"/>
        <v>5539659.21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98448.53</v>
      </c>
      <c r="G562" s="18">
        <v>38394.93</v>
      </c>
      <c r="H562" s="18"/>
      <c r="I562" s="18"/>
      <c r="J562" s="18"/>
      <c r="K562" s="18"/>
      <c r="L562" s="88">
        <f>SUM(F562:K562)</f>
        <v>136843.46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98448.53</v>
      </c>
      <c r="G565" s="89">
        <f t="shared" si="44"/>
        <v>38394.93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136843.46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98448.53</v>
      </c>
      <c r="G571" s="89">
        <f t="shared" ref="G571:L571" si="46">G560+G565+G570</f>
        <v>38394.93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136843.46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31053.87</v>
      </c>
      <c r="G575" s="18"/>
      <c r="H575" s="18"/>
      <c r="I575" s="87">
        <f>SUM(F575:H575)</f>
        <v>31053.87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51408</v>
      </c>
      <c r="G582" s="18"/>
      <c r="H582" s="18"/>
      <c r="I582" s="87">
        <f t="shared" si="47"/>
        <v>51408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383587.2</v>
      </c>
      <c r="I591" s="18"/>
      <c r="J591" s="18"/>
      <c r="K591" s="104">
        <f t="shared" ref="K591:K597" si="48">SUM(H591:J591)</f>
        <v>383587.2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147839.06</v>
      </c>
      <c r="I592" s="18"/>
      <c r="J592" s="18"/>
      <c r="K592" s="104">
        <f t="shared" si="48"/>
        <v>147839.06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531426.26</v>
      </c>
      <c r="I598" s="108">
        <f>SUM(I591:I597)</f>
        <v>0</v>
      </c>
      <c r="J598" s="108">
        <f>SUM(J591:J597)</f>
        <v>0</v>
      </c>
      <c r="K598" s="108">
        <f>SUM(K591:K597)</f>
        <v>531426.26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38627.61</v>
      </c>
      <c r="I604" s="18"/>
      <c r="J604" s="18"/>
      <c r="K604" s="104">
        <f>SUM(H604:J604)</f>
        <v>38627.61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38627.61</v>
      </c>
      <c r="I605" s="108">
        <f>SUM(I602:I604)</f>
        <v>0</v>
      </c>
      <c r="J605" s="108">
        <f>SUM(J602:J604)</f>
        <v>0</v>
      </c>
      <c r="K605" s="108">
        <f>SUM(K602:K604)</f>
        <v>38627.61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37639.22</v>
      </c>
      <c r="G611" s="18">
        <v>14679.3</v>
      </c>
      <c r="H611" s="18"/>
      <c r="I611" s="18">
        <v>526.66</v>
      </c>
      <c r="J611" s="18"/>
      <c r="K611" s="18"/>
      <c r="L611" s="88">
        <f>SUM(F611:K611)</f>
        <v>52845.180000000008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37639.22</v>
      </c>
      <c r="G614" s="108">
        <f t="shared" si="49"/>
        <v>14679.3</v>
      </c>
      <c r="H614" s="108">
        <f t="shared" si="49"/>
        <v>0</v>
      </c>
      <c r="I614" s="108">
        <f t="shared" si="49"/>
        <v>526.66</v>
      </c>
      <c r="J614" s="108">
        <f t="shared" si="49"/>
        <v>0</v>
      </c>
      <c r="K614" s="108">
        <f t="shared" si="49"/>
        <v>0</v>
      </c>
      <c r="L614" s="89">
        <f t="shared" si="49"/>
        <v>52845.180000000008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1085511.43</v>
      </c>
      <c r="H617" s="109">
        <f>SUM(F52)</f>
        <v>1085511.43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0</v>
      </c>
      <c r="H618" s="109">
        <f>SUM(G52)</f>
        <v>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10973.19</v>
      </c>
      <c r="H619" s="109">
        <f>SUM(H52)</f>
        <v>10973.19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4915050.37</v>
      </c>
      <c r="H620" s="109">
        <f>SUM(I52)</f>
        <v>4915050.37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215695.33000000002</v>
      </c>
      <c r="H621" s="109">
        <f>SUM(J52)</f>
        <v>215695.33000000002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527097.61</v>
      </c>
      <c r="H622" s="109">
        <f>F476</f>
        <v>527097.6099999994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10973.19</v>
      </c>
      <c r="H624" s="109">
        <f>H476</f>
        <v>10973.190000000002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4287884.21</v>
      </c>
      <c r="H625" s="109">
        <f>I476</f>
        <v>4287884.21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215695.33000000002</v>
      </c>
      <c r="H626" s="109">
        <f>J476</f>
        <v>215695.32999999996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16866221.16</v>
      </c>
      <c r="H627" s="104">
        <f>SUM(F468)</f>
        <v>16866221.16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274464.21000000002</v>
      </c>
      <c r="H628" s="104">
        <f>SUM(G468)</f>
        <v>274464.21000000002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18260</v>
      </c>
      <c r="H629" s="104">
        <f>SUM(H468)</f>
        <v>18260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15068.37</v>
      </c>
      <c r="H630" s="104">
        <f>SUM(I468)</f>
        <v>15068.37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6443.46</v>
      </c>
      <c r="H631" s="104">
        <f>SUM(J468)</f>
        <v>6443.46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16638258.049999999</v>
      </c>
      <c r="H632" s="104">
        <f>SUM(F472)</f>
        <v>16638258.050000001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17119.21</v>
      </c>
      <c r="H633" s="104">
        <f>SUM(H472)</f>
        <v>17119.21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107497.3</v>
      </c>
      <c r="H634" s="104">
        <f>I369</f>
        <v>107497.3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274464.20999999996</v>
      </c>
      <c r="H635" s="104">
        <f>SUM(G472)</f>
        <v>274464.21000000002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1117199.1600000001</v>
      </c>
      <c r="H636" s="104">
        <f>SUM(I472)</f>
        <v>1117199.1599999999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6443.46</v>
      </c>
      <c r="H637" s="164">
        <f>SUM(J468)</f>
        <v>6443.46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392022.74000000005</v>
      </c>
      <c r="H638" s="164">
        <f>SUM(J472)</f>
        <v>392022.74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147122.51</v>
      </c>
      <c r="H639" s="104">
        <f>SUM(F461)</f>
        <v>147122.51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68572.820000000007</v>
      </c>
      <c r="H640" s="104">
        <f>SUM(G461)</f>
        <v>68572.820000000007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215695.33000000002</v>
      </c>
      <c r="H642" s="104">
        <f>SUM(I461)</f>
        <v>215695.33000000002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6443.46</v>
      </c>
      <c r="H644" s="104">
        <f>H408</f>
        <v>6443.46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6443.46</v>
      </c>
      <c r="H646" s="104">
        <f>L408</f>
        <v>6443.46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531426.26</v>
      </c>
      <c r="H647" s="104">
        <f>L208+L226+L244</f>
        <v>531426.26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38627.61</v>
      </c>
      <c r="H648" s="104">
        <f>(J257+J338)-(J255+J336)</f>
        <v>38627.61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531426.26</v>
      </c>
      <c r="H649" s="104">
        <f>H598</f>
        <v>531426.26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0</v>
      </c>
      <c r="H651" s="104">
        <f>J598</f>
        <v>0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16798087.27</v>
      </c>
      <c r="G660" s="19">
        <f>(L229+L309+L359)</f>
        <v>0</v>
      </c>
      <c r="H660" s="19">
        <f>(L247+L328+L360)</f>
        <v>0</v>
      </c>
      <c r="I660" s="19">
        <f>SUM(F660:H660)</f>
        <v>16798087.27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165759.92000000001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165759.92000000001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531426.26</v>
      </c>
      <c r="G662" s="19">
        <f>(L226+L306)-(J226+J306)</f>
        <v>0</v>
      </c>
      <c r="H662" s="19">
        <f>(L244+L325)-(J244+J325)</f>
        <v>0</v>
      </c>
      <c r="I662" s="19">
        <f>SUM(F662:H662)</f>
        <v>531426.26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173934.66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173934.66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15926966.43</v>
      </c>
      <c r="G664" s="19">
        <f>G660-SUM(G661:G663)</f>
        <v>0</v>
      </c>
      <c r="H664" s="19">
        <f>H660-SUM(H661:H663)</f>
        <v>0</v>
      </c>
      <c r="I664" s="19">
        <f>I660-SUM(I661:I663)</f>
        <v>15926966.43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939.5</v>
      </c>
      <c r="G665" s="248"/>
      <c r="H665" s="248"/>
      <c r="I665" s="19">
        <f>SUM(F665:H665)</f>
        <v>939.5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16952.599999999999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16952.599999999999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16952.599999999999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16952.599999999999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F28" sqref="F2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EXETER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5251575.7300000004</v>
      </c>
      <c r="C9" s="229">
        <f>'DOE25'!G197+'DOE25'!G215+'DOE25'!G233+'DOE25'!G276+'DOE25'!G295+'DOE25'!G314</f>
        <v>2049691.97</v>
      </c>
    </row>
    <row r="10" spans="1:3" x14ac:dyDescent="0.2">
      <c r="A10" t="s">
        <v>778</v>
      </c>
      <c r="B10" s="240">
        <v>4760317.07</v>
      </c>
      <c r="C10" s="240">
        <v>1857953.53</v>
      </c>
    </row>
    <row r="11" spans="1:3" x14ac:dyDescent="0.2">
      <c r="A11" t="s">
        <v>779</v>
      </c>
      <c r="B11" s="240">
        <v>314174.67</v>
      </c>
      <c r="C11" s="240">
        <v>122622.49</v>
      </c>
    </row>
    <row r="12" spans="1:3" x14ac:dyDescent="0.2">
      <c r="A12" t="s">
        <v>780</v>
      </c>
      <c r="B12" s="240">
        <v>177083.99</v>
      </c>
      <c r="C12" s="240">
        <v>69115.95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5251575.7300000004</v>
      </c>
      <c r="C13" s="231">
        <f>SUM(C10:C12)</f>
        <v>2049691.97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2560746.29</v>
      </c>
      <c r="C18" s="229">
        <f>'DOE25'!G198+'DOE25'!G216+'DOE25'!G234+'DOE25'!G277+'DOE25'!G296+'DOE25'!G315</f>
        <v>999460.24</v>
      </c>
    </row>
    <row r="19" spans="1:3" x14ac:dyDescent="0.2">
      <c r="A19" t="s">
        <v>778</v>
      </c>
      <c r="B19" s="240">
        <v>1223528.5900000001</v>
      </c>
      <c r="C19" s="240">
        <v>477543.66</v>
      </c>
    </row>
    <row r="20" spans="1:3" x14ac:dyDescent="0.2">
      <c r="A20" t="s">
        <v>779</v>
      </c>
      <c r="B20" s="240">
        <v>1147301.47</v>
      </c>
      <c r="C20" s="240">
        <v>447792.2</v>
      </c>
    </row>
    <row r="21" spans="1:3" x14ac:dyDescent="0.2">
      <c r="A21" t="s">
        <v>780</v>
      </c>
      <c r="B21" s="240">
        <v>189916.23</v>
      </c>
      <c r="C21" s="240">
        <v>74124.38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2560746.29</v>
      </c>
      <c r="C22" s="231">
        <f>SUM(C19:C21)</f>
        <v>999460.24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58110.78</v>
      </c>
      <c r="C36" s="235">
        <f>'DOE25'!G200+'DOE25'!G218+'DOE25'!G236+'DOE25'!G279+'DOE25'!G298+'DOE25'!G317</f>
        <v>22680.66</v>
      </c>
    </row>
    <row r="37" spans="1:3" x14ac:dyDescent="0.2">
      <c r="A37" t="s">
        <v>778</v>
      </c>
      <c r="B37" s="240">
        <v>58110.78</v>
      </c>
      <c r="C37" s="240">
        <v>22680.66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58110.78</v>
      </c>
      <c r="C40" s="231">
        <f>SUM(C37:C39)</f>
        <v>22680.66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EXETER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11294534.859999999</v>
      </c>
      <c r="D5" s="20">
        <f>SUM('DOE25'!L197:L200)+SUM('DOE25'!L215:L218)+SUM('DOE25'!L233:L236)-F5-G5</f>
        <v>11283343.709999999</v>
      </c>
      <c r="E5" s="243"/>
      <c r="F5" s="255">
        <f>SUM('DOE25'!J197:J200)+SUM('DOE25'!J215:J218)+SUM('DOE25'!J233:J236)</f>
        <v>11191.15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1648854.35</v>
      </c>
      <c r="D6" s="20">
        <f>'DOE25'!L202+'DOE25'!L220+'DOE25'!L238-F6-G6</f>
        <v>1648854.35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789538.91</v>
      </c>
      <c r="D7" s="20">
        <f>'DOE25'!L203+'DOE25'!L221+'DOE25'!L239-F7-G7</f>
        <v>789538.91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299209.41000000003</v>
      </c>
      <c r="D8" s="243"/>
      <c r="E8" s="20">
        <f>'DOE25'!L204+'DOE25'!L222+'DOE25'!L240-F8-G8-D9-D11</f>
        <v>299209.41000000003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817</v>
      </c>
      <c r="C9" s="245">
        <f t="shared" si="0"/>
        <v>30491.46</v>
      </c>
      <c r="D9" s="244">
        <v>30491.46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14450</v>
      </c>
      <c r="D10" s="243"/>
      <c r="E10" s="244">
        <v>14450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48358.29</v>
      </c>
      <c r="D11" s="244">
        <v>48358.29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875690.07</v>
      </c>
      <c r="D12" s="20">
        <f>'DOE25'!L205+'DOE25'!L223+'DOE25'!L241-F12-G12</f>
        <v>872174.52999999991</v>
      </c>
      <c r="E12" s="243"/>
      <c r="F12" s="255">
        <f>'DOE25'!J205+'DOE25'!J223+'DOE25'!J241</f>
        <v>213.54</v>
      </c>
      <c r="G12" s="53">
        <f>'DOE25'!K205+'DOE25'!K223+'DOE25'!K241</f>
        <v>3302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145611</v>
      </c>
      <c r="D13" s="243"/>
      <c r="E13" s="20">
        <f>'DOE25'!L206+'DOE25'!L224+'DOE25'!L242-F13-G13</f>
        <v>145611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842789.24</v>
      </c>
      <c r="D14" s="20">
        <f>'DOE25'!L207+'DOE25'!L225+'DOE25'!L243-F14-G14</f>
        <v>815566.32</v>
      </c>
      <c r="E14" s="243"/>
      <c r="F14" s="255">
        <f>'DOE25'!J207+'DOE25'!J225+'DOE25'!J243</f>
        <v>27222.92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531426.26</v>
      </c>
      <c r="D15" s="20">
        <f>'DOE25'!L208+'DOE25'!L226+'DOE25'!L244-F15-G15</f>
        <v>531426.26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131754.20000000001</v>
      </c>
      <c r="D25" s="243"/>
      <c r="E25" s="243"/>
      <c r="F25" s="258"/>
      <c r="G25" s="256"/>
      <c r="H25" s="257">
        <f>'DOE25'!L260+'DOE25'!L261+'DOE25'!L341+'DOE25'!L342</f>
        <v>131754.20000000001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169672.98999999996</v>
      </c>
      <c r="D29" s="20">
        <f>'DOE25'!L358+'DOE25'!L359+'DOE25'!L360-'DOE25'!I367-F29-G29</f>
        <v>169672.98999999996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17119.21</v>
      </c>
      <c r="D31" s="20">
        <f>'DOE25'!L290+'DOE25'!L309+'DOE25'!L328+'DOE25'!L333+'DOE25'!L334+'DOE25'!L335-F31-G31</f>
        <v>17119.21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16206546.029999999</v>
      </c>
      <c r="E33" s="246">
        <f>SUM(E5:E31)</f>
        <v>459270.41000000003</v>
      </c>
      <c r="F33" s="246">
        <f>SUM(F5:F31)</f>
        <v>38627.61</v>
      </c>
      <c r="G33" s="246">
        <f>SUM(G5:G31)</f>
        <v>3302</v>
      </c>
      <c r="H33" s="246">
        <f>SUM(H5:H31)</f>
        <v>131754.20000000001</v>
      </c>
    </row>
    <row r="35" spans="2:8" ht="12" thickBot="1" x14ac:dyDescent="0.25">
      <c r="B35" s="253" t="s">
        <v>846</v>
      </c>
      <c r="D35" s="254">
        <f>E33</f>
        <v>459270.41000000003</v>
      </c>
      <c r="E35" s="249"/>
    </row>
    <row r="36" spans="2:8" ht="12" thickTop="1" x14ac:dyDescent="0.2">
      <c r="B36" t="s">
        <v>814</v>
      </c>
      <c r="D36" s="20">
        <f>D33</f>
        <v>16206546.029999999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EXETER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115218.64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215695.33000000002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602226.43999999994</v>
      </c>
      <c r="D9" s="95">
        <f>'DOE25'!G10</f>
        <v>0</v>
      </c>
      <c r="E9" s="95">
        <f>'DOE25'!H10</f>
        <v>0</v>
      </c>
      <c r="F9" s="95">
        <f>'DOE25'!I10</f>
        <v>4915050.37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259762.79</v>
      </c>
      <c r="D11" s="95">
        <f>'DOE25'!G12</f>
        <v>0</v>
      </c>
      <c r="E11" s="95">
        <f>'DOE25'!H12</f>
        <v>10973.19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107923.56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380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1085511.43</v>
      </c>
      <c r="D18" s="41">
        <f>SUM(D8:D17)</f>
        <v>0</v>
      </c>
      <c r="E18" s="41">
        <f>SUM(E8:E17)</f>
        <v>10973.19</v>
      </c>
      <c r="F18" s="41">
        <f>SUM(F8:F17)</f>
        <v>4915050.37</v>
      </c>
      <c r="G18" s="41">
        <f>SUM(G8:G17)</f>
        <v>215695.33000000002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10973.19</v>
      </c>
      <c r="D21" s="95">
        <f>'DOE25'!G22</f>
        <v>0</v>
      </c>
      <c r="E21" s="95">
        <f>'DOE25'!H22</f>
        <v>0</v>
      </c>
      <c r="F21" s="95">
        <f>'DOE25'!I22</f>
        <v>259762.79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483974.84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26338.400000000001</v>
      </c>
      <c r="D23" s="95">
        <f>'DOE25'!G24</f>
        <v>0</v>
      </c>
      <c r="E23" s="95">
        <f>'DOE25'!H24</f>
        <v>0</v>
      </c>
      <c r="F23" s="95">
        <f>'DOE25'!I24</f>
        <v>367403.37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20565.75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20.440000000000001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16541.2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558413.81999999995</v>
      </c>
      <c r="D31" s="41">
        <f>SUM(D21:D30)</f>
        <v>0</v>
      </c>
      <c r="E31" s="41">
        <f>SUM(E21:E30)</f>
        <v>0</v>
      </c>
      <c r="F31" s="41">
        <f>SUM(F21:F30)</f>
        <v>627166.16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43096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10973.19</v>
      </c>
      <c r="F47" s="95">
        <f>'DOE25'!I48</f>
        <v>4287884.21</v>
      </c>
      <c r="G47" s="95">
        <f>'DOE25'!J48</f>
        <v>215695.33000000002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484001.61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527097.61</v>
      </c>
      <c r="D50" s="41">
        <f>SUM(D34:D49)</f>
        <v>0</v>
      </c>
      <c r="E50" s="41">
        <f>SUM(E34:E49)</f>
        <v>10973.19</v>
      </c>
      <c r="F50" s="41">
        <f>SUM(F34:F49)</f>
        <v>4287884.21</v>
      </c>
      <c r="G50" s="41">
        <f>SUM(G34:G49)</f>
        <v>215695.33000000002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1085511.43</v>
      </c>
      <c r="D51" s="41">
        <f>D50+D31</f>
        <v>0</v>
      </c>
      <c r="E51" s="41">
        <f>E50+E31</f>
        <v>10973.19</v>
      </c>
      <c r="F51" s="41">
        <f>F50+F31</f>
        <v>4915050.37</v>
      </c>
      <c r="G51" s="41">
        <f>G50+G31</f>
        <v>215695.33000000002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12367256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15417.5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3701.71</v>
      </c>
      <c r="D59" s="95">
        <f>'DOE25'!G96</f>
        <v>18.54</v>
      </c>
      <c r="E59" s="95">
        <f>'DOE25'!H96</f>
        <v>0</v>
      </c>
      <c r="F59" s="95">
        <f>'DOE25'!I96</f>
        <v>15068.37</v>
      </c>
      <c r="G59" s="95">
        <f>'DOE25'!J96</f>
        <v>6443.46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165758.92000000001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64198.16</v>
      </c>
      <c r="D61" s="95">
        <f>SUM('DOE25'!G98:G110)</f>
        <v>1</v>
      </c>
      <c r="E61" s="95">
        <f>SUM('DOE25'!H98:H110)</f>
        <v>18260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83317.37</v>
      </c>
      <c r="D62" s="130">
        <f>SUM(D57:D61)</f>
        <v>165778.46000000002</v>
      </c>
      <c r="E62" s="130">
        <f>SUM(E57:E61)</f>
        <v>18260</v>
      </c>
      <c r="F62" s="130">
        <f>SUM(F57:F61)</f>
        <v>15068.37</v>
      </c>
      <c r="G62" s="130">
        <f>SUM(G57:G61)</f>
        <v>6443.46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12450573.369999999</v>
      </c>
      <c r="D63" s="22">
        <f>D56+D62</f>
        <v>165778.46000000002</v>
      </c>
      <c r="E63" s="22">
        <f>E56+E62</f>
        <v>18260</v>
      </c>
      <c r="F63" s="22">
        <f>F56+F62</f>
        <v>15068.37</v>
      </c>
      <c r="G63" s="22">
        <f>G56+G62</f>
        <v>6443.46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2143842.4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1735571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3879413.4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41256.57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4495.87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41256.57</v>
      </c>
      <c r="D78" s="130">
        <f>SUM(D72:D77)</f>
        <v>4495.87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3920669.9699999997</v>
      </c>
      <c r="D81" s="130">
        <f>SUM(D79:D80)+D78+D70</f>
        <v>4495.87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102955.08</v>
      </c>
      <c r="D88" s="95">
        <f>SUM('DOE25'!G153:G161)</f>
        <v>104189.88</v>
      </c>
      <c r="E88" s="95">
        <f>SUM('DOE25'!H153:H161)</f>
        <v>0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102955.08</v>
      </c>
      <c r="D91" s="131">
        <f>SUM(D85:D90)</f>
        <v>104189.88</v>
      </c>
      <c r="E91" s="131">
        <f>SUM(E85:E90)</f>
        <v>0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392022.74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392022.74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16866221.16</v>
      </c>
      <c r="D104" s="86">
        <f>D63+D81+D91+D103</f>
        <v>274464.21000000002</v>
      </c>
      <c r="E104" s="86">
        <f>E63+E81+E91+E103</f>
        <v>18260</v>
      </c>
      <c r="F104" s="86">
        <f>F63+F81+F91+F103</f>
        <v>15068.37</v>
      </c>
      <c r="G104" s="86">
        <f>G63+G81+G103</f>
        <v>6443.46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7470505.4199999999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3742711.3400000003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81318.100000000006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11294534.859999999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1648854.35</v>
      </c>
      <c r="D118" s="24" t="s">
        <v>288</v>
      </c>
      <c r="E118" s="95">
        <f>+('DOE25'!L281)+('DOE25'!L300)+('DOE25'!L319)</f>
        <v>17119.21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789538.91</v>
      </c>
      <c r="D119" s="24" t="s">
        <v>288</v>
      </c>
      <c r="E119" s="95">
        <f>+('DOE25'!L282)+('DOE25'!L301)+('DOE25'!L320)</f>
        <v>0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378059.16000000003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875690.07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145611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842789.24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531426.26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274464.20999999996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5211968.99</v>
      </c>
      <c r="D128" s="86">
        <f>SUM(D118:D127)</f>
        <v>274464.20999999996</v>
      </c>
      <c r="E128" s="86">
        <f>SUM(E118:E127)</f>
        <v>17119.21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1117199.1600000001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131754.20000000001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392022.74000000005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5764.49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678.97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-6443.46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131754.20000000001</v>
      </c>
      <c r="D144" s="141">
        <f>SUM(D130:D143)</f>
        <v>0</v>
      </c>
      <c r="E144" s="141">
        <f>SUM(E130:E143)</f>
        <v>0</v>
      </c>
      <c r="F144" s="141">
        <f>SUM(F130:F143)</f>
        <v>1117199.1600000001</v>
      </c>
      <c r="G144" s="141">
        <f>SUM(G130:G143)</f>
        <v>392022.74000000005</v>
      </c>
    </row>
    <row r="145" spans="1:9" ht="12.75" thickTop="1" thickBot="1" x14ac:dyDescent="0.25">
      <c r="A145" s="33" t="s">
        <v>244</v>
      </c>
      <c r="C145" s="86">
        <f>(C115+C128+C144)</f>
        <v>16638258.049999999</v>
      </c>
      <c r="D145" s="86">
        <f>(D115+D128+D144)</f>
        <v>274464.20999999996</v>
      </c>
      <c r="E145" s="86">
        <f>(E115+E128+E144)</f>
        <v>17119.21</v>
      </c>
      <c r="F145" s="86">
        <f>(F115+F128+F144)</f>
        <v>1117199.1600000001</v>
      </c>
      <c r="G145" s="86">
        <f>(G115+G128+G144)</f>
        <v>392022.74000000005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06/16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08/26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4663225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5.0200000000000002E-2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4663225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4663225</v>
      </c>
    </row>
    <row r="157" spans="1:9" x14ac:dyDescent="0.2">
      <c r="A157" s="22" t="s">
        <v>33</v>
      </c>
      <c r="B157" s="137">
        <f>'DOE25'!F496</f>
        <v>4663225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4663225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4663225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4663225</v>
      </c>
    </row>
    <row r="160" spans="1:9" x14ac:dyDescent="0.2">
      <c r="A160" s="22" t="s">
        <v>36</v>
      </c>
      <c r="B160" s="137">
        <f>'DOE25'!F499</f>
        <v>1103134.95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1103134.95</v>
      </c>
    </row>
    <row r="161" spans="1:7" x14ac:dyDescent="0.2">
      <c r="A161" s="22" t="s">
        <v>37</v>
      </c>
      <c r="B161" s="137">
        <f>'DOE25'!F500</f>
        <v>5766359.9500000002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5766359.9500000002</v>
      </c>
    </row>
    <row r="162" spans="1:7" x14ac:dyDescent="0.2">
      <c r="A162" s="22" t="s">
        <v>38</v>
      </c>
      <c r="B162" s="137">
        <f>'DOE25'!F501</f>
        <v>468225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468225</v>
      </c>
    </row>
    <row r="163" spans="1:7" x14ac:dyDescent="0.2">
      <c r="A163" s="22" t="s">
        <v>39</v>
      </c>
      <c r="B163" s="137">
        <f>'DOE25'!F502</f>
        <v>213041.45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213041.45</v>
      </c>
    </row>
    <row r="164" spans="1:7" x14ac:dyDescent="0.2">
      <c r="A164" s="22" t="s">
        <v>246</v>
      </c>
      <c r="B164" s="137">
        <f>'DOE25'!F503</f>
        <v>681266.45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681266.45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EXETER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16953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16953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7470505</v>
      </c>
      <c r="D10" s="182">
        <f>ROUND((C10/$C$28)*100,1)</f>
        <v>44.6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3742711</v>
      </c>
      <c r="D11" s="182">
        <f>ROUND((C11/$C$28)*100,1)</f>
        <v>22.3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81318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1665974</v>
      </c>
      <c r="D15" s="182">
        <f t="shared" ref="D15:D27" si="0">ROUND((C15/$C$28)*100,1)</f>
        <v>9.9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789539</v>
      </c>
      <c r="D16" s="182">
        <f t="shared" si="0"/>
        <v>4.7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378059</v>
      </c>
      <c r="D17" s="182">
        <f t="shared" si="0"/>
        <v>2.2999999999999998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875690</v>
      </c>
      <c r="D18" s="182">
        <f t="shared" si="0"/>
        <v>5.2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145611</v>
      </c>
      <c r="D19" s="182">
        <f t="shared" si="0"/>
        <v>0.9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842789</v>
      </c>
      <c r="D20" s="182">
        <f t="shared" si="0"/>
        <v>5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531426</v>
      </c>
      <c r="D21" s="182">
        <f t="shared" si="0"/>
        <v>3.2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131754</v>
      </c>
      <c r="D25" s="182">
        <f t="shared" si="0"/>
        <v>0.8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108704.07999999999</v>
      </c>
      <c r="D27" s="182">
        <f t="shared" si="0"/>
        <v>0.6</v>
      </c>
    </row>
    <row r="28" spans="1:4" x14ac:dyDescent="0.2">
      <c r="B28" s="187" t="s">
        <v>722</v>
      </c>
      <c r="C28" s="180">
        <f>SUM(C10:C27)</f>
        <v>16764080.08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1117199</v>
      </c>
    </row>
    <row r="30" spans="1:4" x14ac:dyDescent="0.2">
      <c r="B30" s="187" t="s">
        <v>728</v>
      </c>
      <c r="C30" s="180">
        <f>SUM(C28:C29)</f>
        <v>17881279.079999998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12367256</v>
      </c>
      <c r="D35" s="182">
        <f t="shared" ref="D35:D40" si="1">ROUND((C35/$C$41)*100,1)</f>
        <v>74.400000000000006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123107.74000000022</v>
      </c>
      <c r="D36" s="182">
        <f t="shared" si="1"/>
        <v>0.7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3879413</v>
      </c>
      <c r="D37" s="182">
        <f t="shared" si="1"/>
        <v>23.3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45752</v>
      </c>
      <c r="D38" s="182">
        <f t="shared" si="1"/>
        <v>0.3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207145</v>
      </c>
      <c r="D39" s="182">
        <f t="shared" si="1"/>
        <v>1.2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16622673.74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EXETER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2017-09-13T14:06:31Z</cp:lastPrinted>
  <dcterms:created xsi:type="dcterms:W3CDTF">1997-12-04T19:04:30Z</dcterms:created>
  <dcterms:modified xsi:type="dcterms:W3CDTF">2017-11-29T17:21:06Z</dcterms:modified>
</cp:coreProperties>
</file>