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E13" i="13" s="1"/>
  <c r="C13" i="13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C111" i="2" s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L226" i="1"/>
  <c r="G662" i="1" s="1"/>
  <c r="L244" i="1"/>
  <c r="H662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D29" i="13" s="1"/>
  <c r="C29" i="13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C12" i="10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L250" i="1"/>
  <c r="L332" i="1"/>
  <c r="L254" i="1"/>
  <c r="L268" i="1"/>
  <c r="C142" i="2" s="1"/>
  <c r="L269" i="1"/>
  <c r="L349" i="1"/>
  <c r="L350" i="1"/>
  <c r="I665" i="1"/>
  <c r="I670" i="1"/>
  <c r="L211" i="1"/>
  <c r="F661" i="1"/>
  <c r="F664" i="1" s="1"/>
  <c r="F672" i="1" s="1"/>
  <c r="C4" i="10" s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E112" i="2"/>
  <c r="C113" i="2"/>
  <c r="E113" i="2"/>
  <c r="E114" i="2"/>
  <c r="E115" i="2" s="1"/>
  <c r="D115" i="2"/>
  <c r="F115" i="2"/>
  <c r="G115" i="2"/>
  <c r="E118" i="2"/>
  <c r="E119" i="2"/>
  <c r="C120" i="2"/>
  <c r="E120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G338" i="1" s="1"/>
  <c r="G352" i="1" s="1"/>
  <c r="H337" i="1"/>
  <c r="H338" i="1" s="1"/>
  <c r="H352" i="1" s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G476" i="1" s="1"/>
  <c r="H623" i="1" s="1"/>
  <c r="H470" i="1"/>
  <c r="I470" i="1"/>
  <c r="J470" i="1"/>
  <c r="J476" i="1" s="1"/>
  <c r="H626" i="1" s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J639" i="1" s="1"/>
  <c r="G641" i="1"/>
  <c r="H641" i="1"/>
  <c r="G643" i="1"/>
  <c r="H643" i="1"/>
  <c r="G644" i="1"/>
  <c r="G645" i="1"/>
  <c r="G649" i="1"/>
  <c r="J649" i="1" s="1"/>
  <c r="G652" i="1"/>
  <c r="H652" i="1"/>
  <c r="G653" i="1"/>
  <c r="H653" i="1"/>
  <c r="G654" i="1"/>
  <c r="H654" i="1"/>
  <c r="H655" i="1"/>
  <c r="J655" i="1" s="1"/>
  <c r="F192" i="1"/>
  <c r="G164" i="2"/>
  <c r="C26" i="10"/>
  <c r="L328" i="1"/>
  <c r="L351" i="1"/>
  <c r="L290" i="1"/>
  <c r="F660" i="1" s="1"/>
  <c r="C70" i="2"/>
  <c r="D12" i="13"/>
  <c r="C12" i="13" s="1"/>
  <c r="D62" i="2"/>
  <c r="D63" i="2" s="1"/>
  <c r="D18" i="13"/>
  <c r="C18" i="13" s="1"/>
  <c r="D15" i="13"/>
  <c r="C15" i="13" s="1"/>
  <c r="D18" i="2"/>
  <c r="C91" i="2"/>
  <c r="F78" i="2"/>
  <c r="F81" i="2" s="1"/>
  <c r="D50" i="2"/>
  <c r="G157" i="2"/>
  <c r="F18" i="2"/>
  <c r="G156" i="2"/>
  <c r="E103" i="2"/>
  <c r="D91" i="2"/>
  <c r="G62" i="2"/>
  <c r="D19" i="13"/>
  <c r="C19" i="13" s="1"/>
  <c r="E78" i="2"/>
  <c r="E81" i="2" s="1"/>
  <c r="L427" i="1"/>
  <c r="J257" i="1"/>
  <c r="J271" i="1" s="1"/>
  <c r="J641" i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F169" i="1"/>
  <c r="J140" i="1"/>
  <c r="K549" i="1"/>
  <c r="K550" i="1"/>
  <c r="G22" i="2"/>
  <c r="K545" i="1"/>
  <c r="H552" i="1"/>
  <c r="C29" i="10"/>
  <c r="H140" i="1"/>
  <c r="L401" i="1"/>
  <c r="C139" i="2" s="1"/>
  <c r="F22" i="13"/>
  <c r="H25" i="13"/>
  <c r="C25" i="13" s="1"/>
  <c r="H571" i="1"/>
  <c r="L560" i="1"/>
  <c r="J545" i="1"/>
  <c r="F338" i="1"/>
  <c r="F352" i="1" s="1"/>
  <c r="G192" i="1"/>
  <c r="H192" i="1"/>
  <c r="E128" i="2"/>
  <c r="C35" i="10"/>
  <c r="L309" i="1"/>
  <c r="D5" i="13"/>
  <c r="C5" i="13" s="1"/>
  <c r="E16" i="13"/>
  <c r="L570" i="1"/>
  <c r="I571" i="1"/>
  <c r="I545" i="1"/>
  <c r="J636" i="1"/>
  <c r="G36" i="2"/>
  <c r="L565" i="1"/>
  <c r="G545" i="1"/>
  <c r="C22" i="13"/>
  <c r="C16" i="13"/>
  <c r="H33" i="13"/>
  <c r="J552" i="1" l="1"/>
  <c r="L534" i="1"/>
  <c r="L545" i="1"/>
  <c r="K551" i="1"/>
  <c r="K552" i="1" s="1"/>
  <c r="F552" i="1"/>
  <c r="A40" i="12"/>
  <c r="A13" i="12"/>
  <c r="C16" i="10"/>
  <c r="G650" i="1"/>
  <c r="C119" i="2"/>
  <c r="D6" i="13"/>
  <c r="C6" i="13" s="1"/>
  <c r="H647" i="1"/>
  <c r="C13" i="10"/>
  <c r="C110" i="2"/>
  <c r="C115" i="2" s="1"/>
  <c r="C21" i="10"/>
  <c r="C18" i="10"/>
  <c r="C17" i="10"/>
  <c r="D7" i="13"/>
  <c r="C7" i="13" s="1"/>
  <c r="D17" i="13"/>
  <c r="C17" i="13" s="1"/>
  <c r="K500" i="1"/>
  <c r="J634" i="1"/>
  <c r="L362" i="1"/>
  <c r="C27" i="10" s="1"/>
  <c r="G661" i="1"/>
  <c r="I661" i="1" s="1"/>
  <c r="D127" i="2"/>
  <c r="D128" i="2" s="1"/>
  <c r="D145" i="2" s="1"/>
  <c r="F667" i="1"/>
  <c r="I460" i="1"/>
  <c r="I461" i="1" s="1"/>
  <c r="H642" i="1" s="1"/>
  <c r="J642" i="1" s="1"/>
  <c r="J640" i="1"/>
  <c r="J645" i="1"/>
  <c r="I446" i="1"/>
  <c r="G642" i="1" s="1"/>
  <c r="H408" i="1"/>
  <c r="H644" i="1" s="1"/>
  <c r="J644" i="1" s="1"/>
  <c r="L229" i="1"/>
  <c r="G660" i="1" s="1"/>
  <c r="K598" i="1"/>
  <c r="G647" i="1" s="1"/>
  <c r="J647" i="1" s="1"/>
  <c r="G257" i="1"/>
  <c r="G271" i="1" s="1"/>
  <c r="C19" i="10"/>
  <c r="I257" i="1"/>
  <c r="I271" i="1" s="1"/>
  <c r="I662" i="1"/>
  <c r="H257" i="1"/>
  <c r="H271" i="1" s="1"/>
  <c r="C122" i="2"/>
  <c r="K257" i="1"/>
  <c r="C15" i="10"/>
  <c r="C20" i="10"/>
  <c r="D14" i="13"/>
  <c r="C14" i="13" s="1"/>
  <c r="G651" i="1"/>
  <c r="J651" i="1" s="1"/>
  <c r="C121" i="2"/>
  <c r="E8" i="13"/>
  <c r="C8" i="13" s="1"/>
  <c r="C118" i="2"/>
  <c r="C10" i="10"/>
  <c r="C124" i="2"/>
  <c r="L247" i="1"/>
  <c r="H660" i="1" s="1"/>
  <c r="H664" i="1" s="1"/>
  <c r="F257" i="1"/>
  <c r="F271" i="1" s="1"/>
  <c r="K271" i="1"/>
  <c r="L256" i="1"/>
  <c r="C78" i="2"/>
  <c r="C81" i="2"/>
  <c r="F112" i="1"/>
  <c r="C57" i="2"/>
  <c r="C62" i="2"/>
  <c r="C63" i="2" s="1"/>
  <c r="J622" i="1"/>
  <c r="J623" i="1"/>
  <c r="H476" i="1"/>
  <c r="H624" i="1" s="1"/>
  <c r="J624" i="1" s="1"/>
  <c r="D31" i="2"/>
  <c r="D51" i="2" s="1"/>
  <c r="H52" i="1"/>
  <c r="H619" i="1" s="1"/>
  <c r="J617" i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G635" i="1"/>
  <c r="J635" i="1" s="1"/>
  <c r="G664" i="1" l="1"/>
  <c r="G672" i="1" s="1"/>
  <c r="C5" i="10" s="1"/>
  <c r="G104" i="2"/>
  <c r="H646" i="1"/>
  <c r="J646" i="1" s="1"/>
  <c r="E33" i="13"/>
  <c r="D35" i="13" s="1"/>
  <c r="C128" i="2"/>
  <c r="C145" i="2" s="1"/>
  <c r="H672" i="1"/>
  <c r="C6" i="10" s="1"/>
  <c r="H667" i="1"/>
  <c r="L257" i="1"/>
  <c r="L271" i="1" s="1"/>
  <c r="G632" i="1" s="1"/>
  <c r="J632" i="1" s="1"/>
  <c r="I660" i="1"/>
  <c r="I664" i="1" s="1"/>
  <c r="I672" i="1" s="1"/>
  <c r="C7" i="10" s="1"/>
  <c r="C28" i="10"/>
  <c r="D22" i="10" s="1"/>
  <c r="C104" i="2"/>
  <c r="F193" i="1"/>
  <c r="G627" i="1" s="1"/>
  <c r="J627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67" i="1" l="1"/>
  <c r="D23" i="10"/>
  <c r="D27" i="10"/>
  <c r="D10" i="10"/>
  <c r="D24" i="10"/>
  <c r="D17" i="10"/>
  <c r="C30" i="10"/>
  <c r="D18" i="10"/>
  <c r="D12" i="10"/>
  <c r="D26" i="10"/>
  <c r="D16" i="10"/>
  <c r="D20" i="10"/>
  <c r="D15" i="10"/>
  <c r="D25" i="10"/>
  <c r="D19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<sst xmlns="http://schemas.openxmlformats.org/spreadsheetml/2006/main" count="3959" uniqueCount="917">
  <si>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</si>
  <si>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</si>
  <si>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</si>
  <si>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</si>
  <si>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</si>
  <si>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</si>
  <si>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</si>
  <si>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</si>
  <si>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</si>
  <si>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</si>
  <si>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</si>
  <si>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</si>
  <si>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</si>
  <si>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</si>
  <si>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</si>
  <si>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</si>
  <si>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</si>
  <si>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</si>
  <si>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</si>
  <si>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</si>
  <si>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</si>
  <si>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</si>
  <si>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</si>
  <si>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</si>
  <si>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</si>
  <si>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</si>
  <si>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</si>
  <si>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</si>
  <si>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</si>
  <si>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</si>
  <si>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</si>
  <si>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</si>
  <si>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</si>
  <si>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</si>
  <si>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</si>
  <si>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</si>
  <si>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</si>
  <si>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</si>
  <si>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</si>
  <si>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</si>
  <si>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</si>
  <si>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</si>
  <si>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</si>
  <si>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</si>
  <si>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</si>
  <si>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</si>
  <si>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</si>
  <si>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</si>
  <si>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</si>
  <si>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</si>
  <si>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</si>
  <si>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</si>
  <si>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</si>
  <si>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</si>
  <si>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</si>
  <si>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</si>
  <si>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</si>
  <si>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</si>
  <si>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</si>
  <si>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</si>
  <si>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</si>
  <si>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</si>
  <si>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</si>
  <si>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</si>
  <si>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</si>
  <si>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</si>
  <si>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</si>
  <si>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</si>
  <si>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</si>
  <si>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</si>
  <si>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</si>
  <si>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</si>
  <si>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</si>
  <si>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</si>
  <si>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</si>
  <si>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</si>
  <si>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</si>
  <si>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</si>
  <si>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</si>
  <si>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</si>
  <si>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</si>
  <si>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</si>
  <si>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</si>
  <si>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</si>
  <si>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</si>
  <si>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</si>
  <si>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</si>
  <si>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</si>
  <si>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</si>
  <si>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</si>
  <si>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</si>
  <si>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</si>
  <si>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</si>
  <si>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</si>
  <si>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</si>
  <si>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</si>
  <si>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</si>
  <si>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</si>
  <si>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</si>
  <si>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</si>
  <si>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</si>
  <si>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</si>
  <si>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</si>
  <si>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</si>
  <si>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</si>
  <si>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</si>
  <si>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</si>
  <si>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</si>
  <si>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</si>
  <si>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</si>
  <si>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</si>
  <si>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</si>
  <si>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</si>
  <si>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</si>
  <si>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</si>
  <si>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</si>
  <si>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</si>
  <si>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</si>
  <si>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</si>
  <si>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</si>
  <si>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</si>
  <si>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</si>
  <si>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</si>
  <si>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</si>
  <si>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</si>
  <si>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</si>
  <si>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</si>
  <si>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</si>
  <si>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</si>
  <si>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</si>
  <si>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</si>
  <si>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</si>
  <si>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</si>
  <si>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</si>
  <si>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</si>
  <si>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</si>
  <si>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</si>
  <si>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</si>
  <si>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</si>
  <si>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</si>
  <si>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</si>
  <si>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</si>
  <si>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</si>
  <si>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</si>
  <si>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</si>
  <si>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</si>
  <si>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</si>
  <si>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</si>
  <si>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</si>
  <si>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</si>
  <si>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</si>
  <si>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</si>
  <si>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</si>
  <si>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</si>
  <si>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</si>
  <si>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</si>
  <si>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</si>
  <si>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</si>
  <si>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</si>
  <si>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</si>
  <si>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</si>
  <si>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</si>
  <si>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</si>
  <si>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</si>
  <si>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</si>
  <si>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</si>
  <si>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</si>
  <si>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</si>
  <si>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</si>
  <si>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</si>
  <si>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</si>
  <si>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</si>
  <si>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</si>
  <si>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</si>
  <si>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</si>
  <si>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</si>
  <si>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</si>
  <si>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</si>
  <si>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</si>
  <si>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</si>
  <si>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</si>
  <si>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</si>
  <si>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</si>
  <si>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</si>
  <si>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</si>
  <si>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</si>
  <si>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</si>
  <si>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</si>
  <si>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</si>
  <si>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</si>
  <si>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</si>
  <si>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</si>
  <si>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</si>
  <si>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</si>
  <si>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</si>
  <si>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</si>
  <si>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</si>
  <si>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</si>
  <si>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</si>
  <si>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</si>
  <si>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</si>
  <si>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</si>
  <si>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</si>
  <si>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</si>
  <si>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</si>
  <si>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</si>
  <si>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</si>
  <si>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</si>
  <si>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</si>
  <si>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</si>
  <si>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</si>
  <si>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</si>
  <si>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</si>
  <si>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</si>
  <si>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</si>
  <si>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</si>
  <si>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</si>
  <si>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</si>
  <si>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</si>
  <si>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</si>
  <si>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</si>
  <si>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</si>
  <si>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</si>
  <si>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</si>
  <si>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</si>
  <si>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</si>
  <si>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</si>
  <si>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</si>
  <si>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</si>
  <si>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</si>
  <si>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</si>
  <si>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</si>
  <si>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</si>
  <si>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</si>
  <si>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</si>
  <si>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</si>
  <si>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</si>
  <si>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</si>
  <si>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</si>
  <si>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</si>
  <si>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</si>
  <si>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</si>
  <si>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</si>
  <si>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</si>
  <si>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</si>
  <si>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</si>
  <si>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</si>
  <si>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</si>
  <si>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</si>
  <si>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</si>
  <si>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</si>
  <si>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</si>
  <si>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</si>
  <si>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</si>
  <si>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</si>
  <si>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</si>
  <si>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</si>
  <si>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</si>
  <si>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</si>
  <si>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</si>
  <si>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</si>
  <si>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</si>
  <si>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</si>
  <si>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</si>
  <si>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</si>
  <si>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</si>
  <si>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</si>
  <si>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</si>
  <si>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</si>
  <si>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</si>
  <si>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</si>
  <si>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</si>
  <si>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</si>
  <si>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</si>
  <si>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</si>
  <si>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</si>
  <si>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</si>
  <si>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</si>
  <si>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</si>
  <si>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</si>
  <si>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</si>
  <si>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</si>
  <si>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</si>
  <si>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</si>
  <si>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</si>
  <si>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</si>
  <si>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</si>
  <si>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</si>
  <si>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</si>
  <si>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</si>
  <si>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</si>
  <si>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</si>
  <si>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</si>
  <si>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</si>
  <si>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</si>
  <si>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</si>
  <si>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</si>
  <si>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</si>
  <si>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</si>
  <si>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</si>
  <si>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</si>
  <si>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</si>
  <si>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</si>
  <si>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</si>
  <si>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</si>
  <si>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</si>
  <si>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</si>
  <si>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</si>
  <si>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</si>
  <si>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</si>
  <si>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</si>
  <si>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</si>
  <si>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</si>
  <si>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</si>
  <si>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</si>
  <si>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</si>
  <si>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</si>
  <si>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</si>
  <si>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</si>
  <si>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</si>
  <si>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</si>
  <si>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</si>
  <si>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</si>
  <si>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</si>
  <si>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</si>
  <si>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</si>
  <si>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</si>
  <si>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</si>
  <si>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</si>
  <si>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</si>
  <si>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</si>
  <si>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</si>
  <si>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</si>
  <si>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</si>
  <si>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</si>
  <si>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</si>
  <si>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</si>
  <si>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</si>
  <si>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</si>
  <si>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</si>
  <si>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</si>
  <si>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</si>
  <si>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</si>
  <si>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</si>
  <si>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</si>
  <si>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</si>
  <si>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</si>
  <si>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</si>
  <si>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</si>
  <si>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</si>
  <si>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</si>
  <si>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</si>
  <si>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</si>
  <si>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</si>
  <si>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</si>
  <si>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</si>
  <si>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</si>
  <si>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</si>
  <si>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</si>
  <si>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</si>
  <si>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</si>
  <si>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</si>
  <si>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</si>
  <si>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</si>
  <si>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</si>
  <si>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</si>
  <si>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</si>
  <si>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</si>
  <si>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</si>
  <si>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</si>
  <si>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</si>
  <si>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</si>
  <si>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</si>
  <si>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</si>
  <si>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</si>
  <si>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</si>
  <si>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</si>
  <si>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</si>
  <si>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</si>
  <si>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</si>
  <si>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</si>
  <si>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</si>
  <si>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</si>
  <si>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</si>
  <si>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</si>
  <si>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</si>
  <si>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</si>
  <si>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</si>
  <si>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</si>
  <si>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</si>
  <si>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</si>
  <si>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</si>
  <si>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</si>
  <si>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</si>
  <si>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</si>
  <si>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</si>
  <si>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</si>
  <si>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</si>
  <si>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</si>
  <si>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</si>
  <si>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</si>
  <si>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</si>
  <si>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</si>
  <si>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</si>
  <si>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</si>
  <si>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</si>
  <si>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</si>
  <si>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</si>
  <si>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</si>
  <si>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</si>
  <si>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</si>
  <si>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</si>
  <si>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</si>
  <si>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</si>
  <si>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</si>
  <si>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</si>
  <si>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</si>
  <si>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</si>
  <si>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</si>
  <si>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</si>
  <si>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</si>
  <si>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</si>
  <si>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</si>
  <si>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</si>
  <si>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</si>
  <si>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</si>
  <si>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</si>
  <si>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</si>
  <si>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</si>
  <si>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</si>
  <si>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</si>
  <si>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</si>
  <si>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</si>
  <si>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</si>
  <si>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</si>
  <si>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</si>
  <si>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</si>
  <si>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</si>
  <si>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</si>
  <si>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</si>
  <si>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</si>
  <si>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</si>
  <si>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</si>
  <si>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</si>
  <si>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</si>
  <si>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</si>
  <si>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</si>
  <si>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</si>
  <si>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</si>
  <si>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</si>
  <si>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</si>
  <si>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</si>
  <si>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</si>
  <si>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</si>
  <si>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</si>
  <si>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</si>
  <si>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</si>
  <si>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</si>
  <si>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</si>
  <si>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</si>
  <si>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</si>
  <si>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</si>
  <si>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</si>
  <si>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</si>
  <si>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</si>
  <si>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</si>
  <si>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</si>
  <si>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</si>
  <si>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</si>
  <si>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</si>
  <si>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</si>
  <si>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</si>
  <si>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</si>
  <si>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</si>
  <si>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</si>
  <si>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</si>
  <si>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</si>
  <si>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</si>
  <si>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</si>
  <si>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</si>
  <si>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</si>
  <si>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</si>
  <si>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</si>
  <si>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</si>
  <si>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</si>
  <si>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</si>
  <si>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</si>
  <si>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</si>
  <si>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</si>
  <si>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</si>
  <si>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</si>
  <si>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</si>
  <si>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</si>
  <si>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</si>
  <si>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</si>
  <si>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</si>
  <si>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</si>
  <si>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</si>
  <si>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</si>
  <si>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</si>
  <si>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</si>
  <si>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</si>
  <si>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</si>
  <si>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</si>
  <si>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</si>
  <si>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</si>
  <si>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</si>
  <si>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</si>
  <si>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</si>
  <si>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</si>
  <si>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</si>
  <si>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</si>
  <si>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</si>
  <si>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</si>
  <si>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</si>
  <si>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</si>
  <si>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</si>
  <si>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</si>
  <si>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</si>
  <si>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</si>
  <si>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</si>
  <si>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</si>
  <si>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</si>
  <si>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</si>
  <si>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</si>
  <si>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</si>
  <si>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</si>
  <si>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</si>
  <si>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</si>
  <si>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</si>
  <si>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</si>
  <si>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</si>
  <si>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</si>
  <si>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</si>
  <si>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</si>
  <si>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</si>
  <si>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</si>
  <si>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</si>
  <si>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</si>
  <si>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</si>
  <si>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</si>
  <si>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</si>
  <si>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</si>
  <si>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</si>
  <si>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</si>
  <si>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</si>
  <si>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</si>
  <si>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</si>
  <si>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</si>
  <si>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</si>
  <si>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</si>
  <si>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</si>
  <si>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</si>
  <si>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</si>
  <si>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</si>
  <si>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</si>
  <si>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</si>
  <si>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</si>
  <si>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</si>
  <si>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</si>
  <si>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</si>
  <si>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</si>
  <si>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</si>
  <si>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</si>
  <si>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</si>
  <si>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</si>
  <si>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</si>
  <si>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</si>
  <si>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</si>
  <si>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</si>
  <si>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</si>
  <si>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</si>
  <si>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</si>
  <si>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</si>
  <si>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</si>
  <si>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</si>
  <si>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</si>
  <si>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</si>
  <si>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</si>
  <si>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</si>
  <si>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</si>
  <si>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</si>
  <si>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</si>
  <si>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</si>
  <si>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</si>
  <si>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</si>
  <si>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</si>
  <si>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</si>
  <si>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</si>
  <si>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</si>
  <si>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</si>
  <si>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</si>
  <si>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</si>
  <si>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</si>
  <si>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</si>
  <si>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</si>
  <si>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</si>
  <si>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</si>
  <si>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</si>
  <si>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</si>
  <si>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</si>
  <si>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</si>
  <si>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</si>
  <si>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</si>
  <si>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</si>
  <si>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</si>
  <si>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</si>
  <si>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</si>
  <si>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</si>
  <si>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</si>
  <si>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</si>
  <si>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</si>
  <si>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</si>
  <si>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</si>
  <si>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</si>
  <si>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</si>
  <si>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</si>
  <si>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</si>
  <si>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</si>
  <si>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</si>
  <si>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</si>
  <si>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</si>
  <si>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</si>
  <si>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</si>
  <si>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</si>
  <si>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</si>
  <si>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</si>
  <si>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</si>
  <si>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</si>
  <si>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</si>
  <si>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</si>
  <si>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</si>
  <si>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</si>
  <si>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</si>
  <si>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</si>
  <si>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</si>
  <si>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</si>
  <si>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</si>
  <si>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</si>
  <si>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</si>
  <si>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</si>
  <si>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</si>
  <si>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</si>
  <si>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</si>
  <si>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</si>
  <si>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</si>
  <si>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</si>
  <si>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</si>
  <si>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</si>
  <si>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</si>
  <si>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</si>
  <si>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</si>
  <si>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</si>
  <si>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</si>
  <si>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</si>
  <si>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</si>
  <si>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</si>
  <si>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</si>
  <si>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</si>
  <si>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</si>
  <si>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</si>
  <si>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</si>
  <si>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</si>
  <si>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</si>
  <si>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</si>
  <si>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</si>
  <si>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</si>
  <si>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</si>
  <si>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</si>
  <si>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</si>
  <si>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</si>
  <si>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</si>
  <si>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</si>
  <si>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</si>
  <si>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</si>
  <si>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</si>
  <si>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</si>
  <si>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</si>
  <si>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</si>
  <si>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</si>
  <si>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</si>
  <si>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</si>
  <si>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</si>
  <si>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</si>
  <si>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</si>
  <si>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</si>
  <si>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</si>
  <si>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</si>
  <si>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</si>
  <si>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</si>
  <si>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</si>
  <si>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</si>
  <si>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</si>
  <si>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</si>
  <si>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</si>
  <si>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</si>
  <si>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</si>
  <si>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</si>
  <si>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</si>
  <si>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</si>
  <si>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</si>
  <si>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</si>
  <si>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</si>
  <si>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</si>
  <si>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</si>
  <si>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</si>
  <si>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</si>
  <si>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</si>
  <si>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</si>
  <si>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</si>
  <si>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</si>
  <si>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</si>
  <si>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</si>
  <si>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</si>
  <si>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</si>
  <si>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</si>
  <si>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</si>
  <si>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</si>
  <si>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</si>
  <si>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</si>
  <si>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</si>
  <si>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</si>
  <si>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</si>
  <si>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</si>
  <si>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</si>
  <si>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</si>
  <si>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</si>
  <si>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</si>
  <si>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</si>
  <si>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</si>
  <si>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</si>
  <si>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</si>
  <si>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</si>
  <si>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</si>
  <si>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</si>
  <si>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</si>
  <si>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</si>
  <si>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</si>
  <si>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</si>
  <si>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</si>
  <si>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</si>
  <si>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</si>
  <si>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</si>
  <si>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</si>
  <si>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</si>
  <si>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</si>
  <si>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</si>
  <si>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</si>
  <si>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</si>
  <si>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</si>
  <si>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</si>
  <si>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</si>
  <si>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</si>
  <si>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</si>
  <si>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</si>
  <si>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</si>
  <si>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</si>
  <si>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</si>
  <si>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</si>
  <si>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</si>
  <si>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</si>
  <si>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</si>
  <si>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</si>
  <si>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</si>
  <si>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</si>
  <si>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</si>
  <si>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</si>
  <si>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</si>
  <si>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</si>
  <si>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</si>
  <si>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</si>
  <si>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</si>
  <si>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</si>
  <si>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</si>
  <si>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</si>
  <si>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</si>
  <si>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</si>
  <si>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</si>
  <si>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</si>
  <si>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</si>
  <si>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</si>
  <si>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</si>
  <si>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</si>
  <si>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</si>
  <si>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</si>
  <si>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</si>
  <si>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</si>
  <si>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</si>
  <si>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</si>
  <si>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</si>
  <si>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</si>
  <si>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</si>
  <si>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</si>
  <si>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</si>
  <si>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</si>
  <si>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</si>
  <si>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</si>
  <si>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</si>
  <si>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</si>
  <si>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</si>
  <si>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</si>
  <si>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</si>
  <si>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</si>
  <si>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</si>
  <si>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</si>
  <si>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</si>
  <si>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</si>
  <si>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</si>
  <si>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</si>
  <si>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</si>
  <si>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</si>
  <si>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</si>
  <si>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</si>
  <si>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</si>
  <si>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</si>
  <si>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</si>
  <si>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</si>
  <si>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</si>
  <si>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</si>
  <si>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</si>
  <si>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</si>
  <si>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</si>
  <si>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</si>
  <si>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</si>
  <si>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</si>
  <si>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</si>
  <si>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</si>
  <si>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</si>
  <si>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</si>
  <si>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</si>
  <si>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</si>
  <si>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</si>
  <si>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</si>
  <si>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</si>
  <si>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</si>
  <si>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</si>
  <si>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</si>
  <si>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</si>
  <si>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</si>
  <si>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</si>
  <si>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</si>
  <si>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</si>
  <si>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</si>
  <si>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</si>
  <si>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</si>
  <si>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</si>
  <si>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</si>
  <si>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</si>
  <si>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</si>
  <si>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</si>
  <si>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</si>
  <si>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</si>
  <si>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</si>
  <si>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</si>
  <si>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</si>
  <si>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</si>
  <si>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</si>
  <si>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</si>
  <si>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</si>
  <si>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</si>
  <si>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</si>
  <si>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</si>
  <si>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</si>
  <si>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</si>
  <si>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</si>
  <si>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</si>
  <si>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</si>
  <si>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</si>
  <si>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</si>
  <si>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</si>
  <si>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</si>
  <si>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</si>
  <si>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</si>
  <si>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</si>
  <si>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</si>
  <si>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</si>
  <si>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</si>
  <si>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</si>
  <si>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</si>
  <si>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</si>
  <si>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</si>
  <si>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</si>
  <si>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</si>
  <si>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</si>
  <si>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</si>
  <si>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</si>
  <si>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</si>
  <si>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</si>
  <si>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</si>
  <si>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</si>
  <si>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</si>
  <si>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</si>
  <si>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</si>
  <si>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</si>
  <si>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</si>
  <si>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</si>
  <si>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</si>
  <si>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</si>
  <si>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</si>
  <si>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</si>
  <si>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</si>
  <si>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</si>
  <si>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</si>
  <si>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</si>
  <si>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</si>
  <si>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</si>
  <si>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</si>
  <si>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</si>
  <si>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</si>
  <si>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</si>
  <si>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</si>
  <si>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</si>
  <si>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EXETER REGION COOPERATIVE SCHOOL DISTRICT</t>
  </si>
  <si>
    <t>1/97</t>
  </si>
  <si>
    <t>1/15/17</t>
  </si>
  <si>
    <t>8/03</t>
  </si>
  <si>
    <t>8/15/23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</si>
</sst>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/>
      <c r="C2" s="21"/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50287.94</v>
      </c>
      <c r="G9" s="18"/>
      <c r="H9" s="18">
        <v>318533.2</v>
      </c>
      <c r="I9" s="18"/>
      <c r="J9" s="67">
        <f>SUM(I439)</f>
        <v>1565838.8699999999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4895029.59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44996.72</v>
      </c>
      <c r="G12" s="18">
        <v>310654.94</v>
      </c>
      <c r="H12" s="18">
        <v>176679.83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424749.67</v>
      </c>
      <c r="G13" s="18">
        <v>37609.440000000002</v>
      </c>
      <c r="H13" s="18">
        <v>44996.72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46305.97</v>
      </c>
      <c r="G14" s="18">
        <v>2606.5300000000002</v>
      </c>
      <c r="H14" s="18">
        <v>956.94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289103.99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5750473.8799999999</v>
      </c>
      <c r="G19" s="41">
        <f>SUM(G9:G18)</f>
        <v>350870.91000000003</v>
      </c>
      <c r="H19" s="41">
        <f>SUM(H9:H18)</f>
        <v>541166.68999999994</v>
      </c>
      <c r="I19" s="41">
        <f>SUM(I9:I18)</f>
        <v>0</v>
      </c>
      <c r="J19" s="41">
        <f>SUM(J9:J18)</f>
        <v>1565838.8699999999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487334.77</v>
      </c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1062821.56</v>
      </c>
      <c r="G23" s="18"/>
      <c r="H23" s="18">
        <v>44996.72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118884.66</v>
      </c>
      <c r="G24" s="18">
        <v>18.8</v>
      </c>
      <c r="H24" s="18">
        <v>526.70000000000005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37783.93</v>
      </c>
      <c r="G28" s="18">
        <v>519.47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32759.73</v>
      </c>
      <c r="H30" s="18">
        <v>5750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41571.4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1748396.3199999998</v>
      </c>
      <c r="G32" s="41">
        <f>SUM(G22:G31)</f>
        <v>33298</v>
      </c>
      <c r="H32" s="41">
        <f>SUM(H22:H31)</f>
        <v>51273.42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317572.90999999997</v>
      </c>
      <c r="H48" s="18">
        <v>489893.27</v>
      </c>
      <c r="I48" s="18"/>
      <c r="J48" s="13">
        <f>SUM(I459)</f>
        <v>1565838.8699999999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613831.30000000005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3338246.26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4002077.5599999996</v>
      </c>
      <c r="G51" s="41">
        <f>SUM(G35:G50)</f>
        <v>317572.90999999997</v>
      </c>
      <c r="H51" s="41">
        <f>SUM(H35:H50)</f>
        <v>489893.27</v>
      </c>
      <c r="I51" s="41">
        <f>SUM(I35:I50)</f>
        <v>0</v>
      </c>
      <c r="J51" s="41">
        <f>SUM(J35:J50)</f>
        <v>1565838.8699999999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5750473.879999999</v>
      </c>
      <c r="G52" s="41">
        <f>G51+G32</f>
        <v>350870.91</v>
      </c>
      <c r="H52" s="41">
        <f>H51+H32</f>
        <v>541166.69000000006</v>
      </c>
      <c r="I52" s="41">
        <f>I51+I32</f>
        <v>0</v>
      </c>
      <c r="J52" s="41">
        <f>J51+J32</f>
        <v>1565838.8699999999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36534913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36534913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5000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97330.7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14403.66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892783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1009517.36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9895.89</v>
      </c>
      <c r="G96" s="18">
        <v>77.89</v>
      </c>
      <c r="H96" s="18"/>
      <c r="I96" s="18"/>
      <c r="J96" s="18">
        <v>14691.48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694995.73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744711.49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>
        <v>102018.33</v>
      </c>
      <c r="H99" s="18">
        <v>4654.04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121976.9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>
        <v>35000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151648.73000000001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189924.34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473445.86</v>
      </c>
      <c r="G111" s="41">
        <f>SUM(G96:G110)</f>
        <v>797091.95</v>
      </c>
      <c r="H111" s="41">
        <f>SUM(H96:H110)</f>
        <v>749365.53</v>
      </c>
      <c r="I111" s="41">
        <f>SUM(I96:I110)</f>
        <v>0</v>
      </c>
      <c r="J111" s="41">
        <f>SUM(J96:J110)</f>
        <v>49691.479999999996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38017876.219999999</v>
      </c>
      <c r="G112" s="41">
        <f>G60+G111</f>
        <v>797091.95</v>
      </c>
      <c r="H112" s="41">
        <f>H60+H79+H94+H111</f>
        <v>749365.53</v>
      </c>
      <c r="I112" s="41">
        <f>I60+I111</f>
        <v>0</v>
      </c>
      <c r="J112" s="41">
        <f>J60+J111</f>
        <v>49691.479999999996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6217568.3899999997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5888855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284761.65000000002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12391185.040000001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1425594.36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390789.22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1126429.06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8834.0499999999993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2942812.64</v>
      </c>
      <c r="G136" s="41">
        <f>SUM(G123:G135)</f>
        <v>8834.0499999999993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15333997.680000002</v>
      </c>
      <c r="G140" s="41">
        <f>G121+SUM(G136:G137)</f>
        <v>8834.0499999999993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346058.15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228712.83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264626.01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264626.01</v>
      </c>
      <c r="G162" s="41">
        <f>SUM(G150:G161)</f>
        <v>228712.83</v>
      </c>
      <c r="H162" s="41">
        <f>SUM(H150:H161)</f>
        <v>346058.15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264626.01</v>
      </c>
      <c r="G169" s="41">
        <f>G147+G162+SUM(G163:G168)</f>
        <v>228712.83</v>
      </c>
      <c r="H169" s="41">
        <f>H147+H162+SUM(H163:H168)</f>
        <v>346058.15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53616499.909999996</v>
      </c>
      <c r="G193" s="47">
        <f>G112+G140+G169+G192</f>
        <v>1034638.83</v>
      </c>
      <c r="H193" s="47">
        <f>H112+H140+H169+H192</f>
        <v>1095423.6800000002</v>
      </c>
      <c r="I193" s="47">
        <f>I112+I140+I169+I192</f>
        <v>0</v>
      </c>
      <c r="J193" s="47">
        <f>J112+J140+J192</f>
        <v>99691.48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6545897.9400000004</v>
      </c>
      <c r="G215" s="18">
        <v>2794864.9</v>
      </c>
      <c r="H215" s="18">
        <v>188.76</v>
      </c>
      <c r="I215" s="18">
        <v>115085.69</v>
      </c>
      <c r="J215" s="18">
        <v>16157.02</v>
      </c>
      <c r="K215" s="18"/>
      <c r="L215" s="19">
        <f>SUM(F215:K215)</f>
        <v>9472194.3099999987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2048544.91</v>
      </c>
      <c r="G216" s="18">
        <v>879801.01</v>
      </c>
      <c r="H216" s="18">
        <v>864859.74</v>
      </c>
      <c r="I216" s="18">
        <v>28564.639999999999</v>
      </c>
      <c r="J216" s="18">
        <v>13220.49</v>
      </c>
      <c r="K216" s="18"/>
      <c r="L216" s="19">
        <f>SUM(F216:K216)</f>
        <v>3834990.7900000005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181134.61</v>
      </c>
      <c r="G218" s="18">
        <v>77338.02</v>
      </c>
      <c r="H218" s="18"/>
      <c r="I218" s="18">
        <v>11928.3</v>
      </c>
      <c r="J218" s="18"/>
      <c r="K218" s="18"/>
      <c r="L218" s="19">
        <f>SUM(F218:K218)</f>
        <v>270400.93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1112970.67</v>
      </c>
      <c r="G220" s="18">
        <v>475198.77</v>
      </c>
      <c r="H220" s="18">
        <v>45098.27</v>
      </c>
      <c r="I220" s="18">
        <v>10724.77</v>
      </c>
      <c r="J220" s="18"/>
      <c r="K220" s="18"/>
      <c r="L220" s="19">
        <f t="shared" ref="L220:L226" si="2">SUM(F220:K220)</f>
        <v>1643992.48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300431.7</v>
      </c>
      <c r="G221" s="18">
        <v>145215.20000000001</v>
      </c>
      <c r="H221" s="18">
        <v>55726.14</v>
      </c>
      <c r="I221" s="18">
        <v>73594.66</v>
      </c>
      <c r="J221" s="18">
        <v>88076.83</v>
      </c>
      <c r="K221" s="18"/>
      <c r="L221" s="19">
        <f t="shared" si="2"/>
        <v>663044.53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23685.97</v>
      </c>
      <c r="G222" s="18">
        <v>10113.06</v>
      </c>
      <c r="H222" s="18">
        <v>582898.29</v>
      </c>
      <c r="I222" s="18">
        <v>196.64</v>
      </c>
      <c r="J222" s="18"/>
      <c r="K222" s="18"/>
      <c r="L222" s="19">
        <f t="shared" si="2"/>
        <v>616893.96000000008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618835.73</v>
      </c>
      <c r="G223" s="18">
        <v>264220.78000000003</v>
      </c>
      <c r="H223" s="18">
        <v>37413.919999999998</v>
      </c>
      <c r="I223" s="18">
        <v>8810.98</v>
      </c>
      <c r="J223" s="18">
        <v>5742.65</v>
      </c>
      <c r="K223" s="18">
        <v>5429.12</v>
      </c>
      <c r="L223" s="19">
        <f t="shared" si="2"/>
        <v>940453.18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705260.06</v>
      </c>
      <c r="G225" s="18">
        <v>301120.88</v>
      </c>
      <c r="H225" s="18">
        <v>483614.11</v>
      </c>
      <c r="I225" s="18">
        <v>391970.04</v>
      </c>
      <c r="J225" s="18"/>
      <c r="K225" s="18"/>
      <c r="L225" s="19">
        <f t="shared" si="2"/>
        <v>1881965.09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22024.54</v>
      </c>
      <c r="G226" s="18">
        <v>9403.69</v>
      </c>
      <c r="H226" s="18">
        <v>853177.92</v>
      </c>
      <c r="I226" s="18"/>
      <c r="J226" s="18"/>
      <c r="K226" s="18"/>
      <c r="L226" s="19">
        <f t="shared" si="2"/>
        <v>884606.15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11558786.129999999</v>
      </c>
      <c r="G229" s="41">
        <f>SUM(G215:G228)</f>
        <v>4957276.3100000005</v>
      </c>
      <c r="H229" s="41">
        <f>SUM(H215:H228)</f>
        <v>2922977.15</v>
      </c>
      <c r="I229" s="41">
        <f>SUM(I215:I228)</f>
        <v>640875.72</v>
      </c>
      <c r="J229" s="41">
        <f>SUM(J215:J228)</f>
        <v>123196.98999999999</v>
      </c>
      <c r="K229" s="41">
        <f t="shared" si="3"/>
        <v>5429.12</v>
      </c>
      <c r="L229" s="41">
        <f t="shared" si="3"/>
        <v>20208541.419999998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7107331.96</v>
      </c>
      <c r="G233" s="18">
        <v>2984319.5</v>
      </c>
      <c r="H233" s="18">
        <v>142141.4</v>
      </c>
      <c r="I233" s="18">
        <v>186749.28</v>
      </c>
      <c r="J233" s="18"/>
      <c r="K233" s="18"/>
      <c r="L233" s="19">
        <f>SUM(F233:K233)</f>
        <v>10420542.140000001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1838087.63</v>
      </c>
      <c r="G234" s="18">
        <v>779457.67</v>
      </c>
      <c r="H234" s="18">
        <v>1078296.46</v>
      </c>
      <c r="I234" s="18">
        <v>34486.519999999997</v>
      </c>
      <c r="J234" s="18">
        <v>24212.23</v>
      </c>
      <c r="K234" s="18"/>
      <c r="L234" s="19">
        <f>SUM(F234:K234)</f>
        <v>3754540.51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1625542.03</v>
      </c>
      <c r="G235" s="18">
        <v>691110.28</v>
      </c>
      <c r="H235" s="18">
        <v>40744.07</v>
      </c>
      <c r="I235" s="18">
        <v>106062</v>
      </c>
      <c r="J235" s="18">
        <v>9214.76</v>
      </c>
      <c r="K235" s="18">
        <v>1805</v>
      </c>
      <c r="L235" s="19">
        <f>SUM(F235:K235)</f>
        <v>2474478.1399999997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513023.2</v>
      </c>
      <c r="G236" s="18">
        <v>215414.89</v>
      </c>
      <c r="H236" s="18">
        <v>38170.080000000002</v>
      </c>
      <c r="I236" s="18">
        <v>58982.13</v>
      </c>
      <c r="J236" s="18">
        <v>2000</v>
      </c>
      <c r="K236" s="18">
        <v>9999.5</v>
      </c>
      <c r="L236" s="19">
        <f>SUM(F236:K236)</f>
        <v>837589.8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1462113.04</v>
      </c>
      <c r="G238" s="18">
        <v>613931.14</v>
      </c>
      <c r="H238" s="18">
        <v>114793.33</v>
      </c>
      <c r="I238" s="18">
        <v>35745.57</v>
      </c>
      <c r="J238" s="18"/>
      <c r="K238" s="18"/>
      <c r="L238" s="19">
        <f t="shared" ref="L238:L244" si="4">SUM(F238:K238)</f>
        <v>2226583.08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693668.59</v>
      </c>
      <c r="G239" s="18">
        <v>314499.76</v>
      </c>
      <c r="H239" s="18">
        <v>66491.789999999994</v>
      </c>
      <c r="I239" s="18">
        <v>190559.48</v>
      </c>
      <c r="J239" s="18">
        <v>141111.76</v>
      </c>
      <c r="K239" s="18">
        <v>8525</v>
      </c>
      <c r="L239" s="19">
        <f t="shared" si="4"/>
        <v>1414856.38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23685.97</v>
      </c>
      <c r="G240" s="18">
        <v>9945.57</v>
      </c>
      <c r="H240" s="18">
        <v>582898.28</v>
      </c>
      <c r="I240" s="18">
        <v>196.63</v>
      </c>
      <c r="J240" s="18"/>
      <c r="K240" s="18"/>
      <c r="L240" s="19">
        <f t="shared" si="4"/>
        <v>616726.45000000007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754987.7</v>
      </c>
      <c r="G241" s="18">
        <v>317014.11</v>
      </c>
      <c r="H241" s="18">
        <v>43634.64</v>
      </c>
      <c r="I241" s="18">
        <v>86071.17</v>
      </c>
      <c r="J241" s="18"/>
      <c r="K241" s="18">
        <v>12177.83</v>
      </c>
      <c r="L241" s="19">
        <f t="shared" si="4"/>
        <v>1213885.45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918462.62</v>
      </c>
      <c r="G243" s="18">
        <v>385656.1</v>
      </c>
      <c r="H243" s="18">
        <v>784478.37</v>
      </c>
      <c r="I243" s="18">
        <v>1098716.52</v>
      </c>
      <c r="J243" s="18">
        <v>7253.86</v>
      </c>
      <c r="K243" s="18"/>
      <c r="L243" s="19">
        <f t="shared" si="4"/>
        <v>3194567.4699999997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22024.54</v>
      </c>
      <c r="G244" s="18">
        <v>9247.9500000000007</v>
      </c>
      <c r="H244" s="18">
        <v>1123143.1599999999</v>
      </c>
      <c r="I244" s="18"/>
      <c r="J244" s="18"/>
      <c r="K244" s="18"/>
      <c r="L244" s="19">
        <f t="shared" si="4"/>
        <v>1154415.6499999999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14958927.279999997</v>
      </c>
      <c r="G247" s="41">
        <f t="shared" si="5"/>
        <v>6320596.9699999997</v>
      </c>
      <c r="H247" s="41">
        <f t="shared" si="5"/>
        <v>4014791.58</v>
      </c>
      <c r="I247" s="41">
        <f t="shared" si="5"/>
        <v>1797569.3</v>
      </c>
      <c r="J247" s="41">
        <f t="shared" si="5"/>
        <v>183792.61</v>
      </c>
      <c r="K247" s="41">
        <f t="shared" si="5"/>
        <v>32507.33</v>
      </c>
      <c r="L247" s="41">
        <f t="shared" si="5"/>
        <v>27308185.069999997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112080.98</v>
      </c>
      <c r="G251" s="18"/>
      <c r="H251" s="18"/>
      <c r="I251" s="18">
        <v>22447.61</v>
      </c>
      <c r="J251" s="18"/>
      <c r="K251" s="18"/>
      <c r="L251" s="19">
        <f t="shared" si="6"/>
        <v>134528.59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112080.98</v>
      </c>
      <c r="G256" s="41">
        <f t="shared" si="7"/>
        <v>0</v>
      </c>
      <c r="H256" s="41">
        <f t="shared" si="7"/>
        <v>0</v>
      </c>
      <c r="I256" s="41">
        <f t="shared" si="7"/>
        <v>22447.61</v>
      </c>
      <c r="J256" s="41">
        <f t="shared" si="7"/>
        <v>0</v>
      </c>
      <c r="K256" s="41">
        <f t="shared" si="7"/>
        <v>0</v>
      </c>
      <c r="L256" s="41">
        <f>SUM(F256:K256)</f>
        <v>134528.59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26629794.389999997</v>
      </c>
      <c r="G257" s="41">
        <f t="shared" si="8"/>
        <v>11277873.280000001</v>
      </c>
      <c r="H257" s="41">
        <f t="shared" si="8"/>
        <v>6937768.7300000004</v>
      </c>
      <c r="I257" s="41">
        <f t="shared" si="8"/>
        <v>2460892.63</v>
      </c>
      <c r="J257" s="41">
        <f t="shared" si="8"/>
        <v>306989.59999999998</v>
      </c>
      <c r="K257" s="41">
        <f t="shared" si="8"/>
        <v>37936.450000000004</v>
      </c>
      <c r="L257" s="41">
        <f t="shared" si="8"/>
        <v>47651255.079999998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2204801.9700000002</v>
      </c>
      <c r="L260" s="19">
        <f>SUM(F260:K260)</f>
        <v>2204801.9700000002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2229476.0299999998</v>
      </c>
      <c r="L261" s="19">
        <f>SUM(F261:K261)</f>
        <v>2229476.0299999998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280000</v>
      </c>
      <c r="L268" s="19">
        <f t="shared" si="9"/>
        <v>280000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4764278</v>
      </c>
      <c r="L270" s="41">
        <f t="shared" si="9"/>
        <v>4764278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26629794.389999997</v>
      </c>
      <c r="G271" s="42">
        <f t="shared" si="11"/>
        <v>11277873.280000001</v>
      </c>
      <c r="H271" s="42">
        <f t="shared" si="11"/>
        <v>6937768.7300000004</v>
      </c>
      <c r="I271" s="42">
        <f t="shared" si="11"/>
        <v>2460892.63</v>
      </c>
      <c r="J271" s="42">
        <f t="shared" si="11"/>
        <v>306989.59999999998</v>
      </c>
      <c r="K271" s="42">
        <f t="shared" si="11"/>
        <v>4802214.45</v>
      </c>
      <c r="L271" s="42">
        <f t="shared" si="11"/>
        <v>52415533.079999998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>
        <v>237164.28</v>
      </c>
      <c r="L300" s="19">
        <f t="shared" ref="L300:L306" si="14">SUM(F300:K300)</f>
        <v>237164.28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237164.28</v>
      </c>
      <c r="L309" s="41">
        <f t="shared" si="15"/>
        <v>237164.28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3375</v>
      </c>
      <c r="G316" s="18"/>
      <c r="H316" s="18"/>
      <c r="I316" s="18">
        <v>59632.160000000003</v>
      </c>
      <c r="J316" s="18"/>
      <c r="K316" s="18"/>
      <c r="L316" s="19">
        <f>SUM(F316:K316)</f>
        <v>63007.16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>
        <v>7185.75</v>
      </c>
      <c r="J319" s="18"/>
      <c r="K319" s="18">
        <v>478230.25</v>
      </c>
      <c r="L319" s="19">
        <f t="shared" ref="L319:L325" si="16">SUM(F319:K319)</f>
        <v>485416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3375</v>
      </c>
      <c r="G328" s="42">
        <f t="shared" si="17"/>
        <v>0</v>
      </c>
      <c r="H328" s="42">
        <f t="shared" si="17"/>
        <v>0</v>
      </c>
      <c r="I328" s="42">
        <f t="shared" si="17"/>
        <v>66817.91</v>
      </c>
      <c r="J328" s="42">
        <f t="shared" si="17"/>
        <v>0</v>
      </c>
      <c r="K328" s="42">
        <f t="shared" si="17"/>
        <v>478230.25</v>
      </c>
      <c r="L328" s="41">
        <f t="shared" si="17"/>
        <v>548423.16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252382.83</v>
      </c>
      <c r="G333" s="18">
        <v>45722.12</v>
      </c>
      <c r="H333" s="18">
        <v>15171.22</v>
      </c>
      <c r="I333" s="18">
        <v>15103.18</v>
      </c>
      <c r="J333" s="18">
        <v>9351.98</v>
      </c>
      <c r="K333" s="18">
        <v>9436.82</v>
      </c>
      <c r="L333" s="19">
        <f t="shared" si="18"/>
        <v>347168.14999999997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>
        <v>662.76</v>
      </c>
      <c r="G334" s="18"/>
      <c r="H334" s="18">
        <v>650</v>
      </c>
      <c r="I334" s="18">
        <v>3535.3</v>
      </c>
      <c r="J334" s="18"/>
      <c r="K334" s="18"/>
      <c r="L334" s="19">
        <f t="shared" si="18"/>
        <v>4848.0600000000004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253045.59</v>
      </c>
      <c r="G337" s="41">
        <f t="shared" si="19"/>
        <v>45722.12</v>
      </c>
      <c r="H337" s="41">
        <f t="shared" si="19"/>
        <v>15821.22</v>
      </c>
      <c r="I337" s="41">
        <f t="shared" si="19"/>
        <v>18638.48</v>
      </c>
      <c r="J337" s="41">
        <f t="shared" si="19"/>
        <v>9351.98</v>
      </c>
      <c r="K337" s="41">
        <f t="shared" si="19"/>
        <v>9436.82</v>
      </c>
      <c r="L337" s="41">
        <f t="shared" si="18"/>
        <v>352016.20999999996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256420.59</v>
      </c>
      <c r="G338" s="41">
        <f t="shared" si="20"/>
        <v>45722.12</v>
      </c>
      <c r="H338" s="41">
        <f t="shared" si="20"/>
        <v>15821.22</v>
      </c>
      <c r="I338" s="41">
        <f t="shared" si="20"/>
        <v>85456.39</v>
      </c>
      <c r="J338" s="41">
        <f t="shared" si="20"/>
        <v>9351.98</v>
      </c>
      <c r="K338" s="41">
        <f t="shared" si="20"/>
        <v>724831.35</v>
      </c>
      <c r="L338" s="41">
        <f t="shared" si="20"/>
        <v>1137603.6499999999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256420.59</v>
      </c>
      <c r="G352" s="41">
        <f>G338</f>
        <v>45722.12</v>
      </c>
      <c r="H352" s="41">
        <f>H338</f>
        <v>15821.22</v>
      </c>
      <c r="I352" s="41">
        <f>I338</f>
        <v>85456.39</v>
      </c>
      <c r="J352" s="41">
        <f>J338</f>
        <v>9351.98</v>
      </c>
      <c r="K352" s="47">
        <f>K338+K351</f>
        <v>724831.35</v>
      </c>
      <c r="L352" s="41">
        <f>L338+L351</f>
        <v>1137603.6499999999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139566.46</v>
      </c>
      <c r="G359" s="18">
        <v>29901.75</v>
      </c>
      <c r="H359" s="18">
        <v>12351.17</v>
      </c>
      <c r="I359" s="18">
        <v>180982.12</v>
      </c>
      <c r="J359" s="18">
        <v>6932.25</v>
      </c>
      <c r="K359" s="18">
        <v>800.5</v>
      </c>
      <c r="L359" s="19">
        <f>SUM(F359:K359)</f>
        <v>370534.25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208784.35</v>
      </c>
      <c r="G360" s="18">
        <v>44870.29</v>
      </c>
      <c r="H360" s="18">
        <v>22517.98</v>
      </c>
      <c r="I360" s="18">
        <v>329719.76</v>
      </c>
      <c r="J360" s="18">
        <v>18594.09</v>
      </c>
      <c r="K360" s="18">
        <v>1201.1400000000001</v>
      </c>
      <c r="L360" s="19">
        <f>SUM(F360:K360)</f>
        <v>625687.61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348350.81</v>
      </c>
      <c r="G362" s="47">
        <f t="shared" si="22"/>
        <v>74772.040000000008</v>
      </c>
      <c r="H362" s="47">
        <f t="shared" si="22"/>
        <v>34869.15</v>
      </c>
      <c r="I362" s="47">
        <f t="shared" si="22"/>
        <v>510701.88</v>
      </c>
      <c r="J362" s="47">
        <f t="shared" si="22"/>
        <v>25526.34</v>
      </c>
      <c r="K362" s="47">
        <f t="shared" si="22"/>
        <v>2001.64</v>
      </c>
      <c r="L362" s="47">
        <f t="shared" si="22"/>
        <v>996221.86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>
        <v>169291.09</v>
      </c>
      <c r="H367" s="18">
        <v>293358.18</v>
      </c>
      <c r="I367" s="56">
        <f>SUM(F367:H367)</f>
        <v>462649.27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>
        <v>11691.03</v>
      </c>
      <c r="H368" s="63">
        <v>36361.58</v>
      </c>
      <c r="I368" s="56">
        <f>SUM(F368:H368)</f>
        <v>48052.61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180982.12</v>
      </c>
      <c r="H369" s="47">
        <f>SUM(H367:H368)</f>
        <v>329719.76</v>
      </c>
      <c r="I369" s="47">
        <f>SUM(I367:I368)</f>
        <v>510701.88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>
        <v>3973.47</v>
      </c>
      <c r="I388" s="18"/>
      <c r="J388" s="24" t="s">
        <v>288</v>
      </c>
      <c r="K388" s="24" t="s">
        <v>288</v>
      </c>
      <c r="L388" s="56">
        <f t="shared" si="25"/>
        <v>3973.47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>
        <v>50000</v>
      </c>
      <c r="H391" s="18">
        <v>501.72</v>
      </c>
      <c r="I391" s="18"/>
      <c r="J391" s="24" t="s">
        <v>288</v>
      </c>
      <c r="K391" s="24" t="s">
        <v>288</v>
      </c>
      <c r="L391" s="56">
        <f t="shared" si="25"/>
        <v>50501.72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29.53</v>
      </c>
      <c r="I392" s="18">
        <v>35000</v>
      </c>
      <c r="J392" s="24" t="s">
        <v>288</v>
      </c>
      <c r="K392" s="24" t="s">
        <v>288</v>
      </c>
      <c r="L392" s="56">
        <f t="shared" si="25"/>
        <v>35029.53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4504.7199999999993</v>
      </c>
      <c r="I393" s="65">
        <f>SUM(I387:I392)</f>
        <v>35000</v>
      </c>
      <c r="J393" s="45" t="s">
        <v>288</v>
      </c>
      <c r="K393" s="45" t="s">
        <v>288</v>
      </c>
      <c r="L393" s="47">
        <f>SUM(L387:L392)</f>
        <v>89504.72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5074.63</v>
      </c>
      <c r="I396" s="18"/>
      <c r="J396" s="24" t="s">
        <v>288</v>
      </c>
      <c r="K396" s="24" t="s">
        <v>288</v>
      </c>
      <c r="L396" s="56">
        <f t="shared" si="26"/>
        <v>5074.63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5112.13</v>
      </c>
      <c r="I397" s="18"/>
      <c r="J397" s="24" t="s">
        <v>288</v>
      </c>
      <c r="K397" s="24" t="s">
        <v>288</v>
      </c>
      <c r="L397" s="56">
        <f t="shared" si="26"/>
        <v>5112.13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10186.76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10186.76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14691.48</v>
      </c>
      <c r="I408" s="47">
        <f>I393+I401+I407</f>
        <v>35000</v>
      </c>
      <c r="J408" s="24" t="s">
        <v>288</v>
      </c>
      <c r="K408" s="24" t="s">
        <v>288</v>
      </c>
      <c r="L408" s="47">
        <f>L393+L401+L407</f>
        <v>99691.48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401308.19</v>
      </c>
      <c r="G439" s="18">
        <v>1164530.68</v>
      </c>
      <c r="H439" s="18"/>
      <c r="I439" s="56">
        <f t="shared" ref="I439:I445" si="33">SUM(F439:H439)</f>
        <v>1565838.8699999999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401308.19</v>
      </c>
      <c r="G446" s="13">
        <f>SUM(G439:G445)</f>
        <v>1164530.68</v>
      </c>
      <c r="H446" s="13">
        <f>SUM(H439:H445)</f>
        <v>0</v>
      </c>
      <c r="I446" s="13">
        <f>SUM(I439:I445)</f>
        <v>1565838.8699999999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401308.19</v>
      </c>
      <c r="G459" s="18">
        <v>1164530.68</v>
      </c>
      <c r="H459" s="18"/>
      <c r="I459" s="56">
        <f t="shared" si="34"/>
        <v>1565838.8699999999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401308.19</v>
      </c>
      <c r="G460" s="83">
        <f>SUM(G454:G459)</f>
        <v>1164530.68</v>
      </c>
      <c r="H460" s="83">
        <f>SUM(H454:H459)</f>
        <v>0</v>
      </c>
      <c r="I460" s="83">
        <f>SUM(I454:I459)</f>
        <v>1565838.8699999999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401308.19</v>
      </c>
      <c r="G461" s="42">
        <f>G452+G460</f>
        <v>1164530.68</v>
      </c>
      <c r="H461" s="42">
        <f>H452+H460</f>
        <v>0</v>
      </c>
      <c r="I461" s="42">
        <f>I452+I460</f>
        <v>1565838.8699999999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2805836.15</v>
      </c>
      <c r="G465" s="18">
        <v>279155.94</v>
      </c>
      <c r="H465" s="18">
        <v>532073.24</v>
      </c>
      <c r="I465" s="18"/>
      <c r="J465" s="18">
        <v>1466147.39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53616499.909999996</v>
      </c>
      <c r="G468" s="18">
        <v>1034638.83</v>
      </c>
      <c r="H468" s="18">
        <v>1095423.68</v>
      </c>
      <c r="I468" s="18"/>
      <c r="J468" s="18">
        <v>99691.48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53616499.909999996</v>
      </c>
      <c r="G470" s="53">
        <f>SUM(G468:G469)</f>
        <v>1034638.83</v>
      </c>
      <c r="H470" s="53">
        <f>SUM(H468:H469)</f>
        <v>1095423.68</v>
      </c>
      <c r="I470" s="53">
        <f>SUM(I468:I469)</f>
        <v>0</v>
      </c>
      <c r="J470" s="53">
        <f>SUM(J468:J469)</f>
        <v>99691.48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52415533.079999998</v>
      </c>
      <c r="G472" s="18">
        <v>996221.86</v>
      </c>
      <c r="H472" s="18">
        <v>1137603.6499999999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4725.42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52420258.5</v>
      </c>
      <c r="G474" s="53">
        <f>SUM(G472:G473)</f>
        <v>996221.86</v>
      </c>
      <c r="H474" s="53">
        <f>SUM(H472:H473)</f>
        <v>1137603.6499999999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4002077.5599999949</v>
      </c>
      <c r="G476" s="53">
        <f>(G465+G470)- G474</f>
        <v>317572.91000000003</v>
      </c>
      <c r="H476" s="53">
        <f>(H465+H470)- H474</f>
        <v>489893.27</v>
      </c>
      <c r="I476" s="53">
        <f>(I465+I470)- I474</f>
        <v>0</v>
      </c>
      <c r="J476" s="53">
        <f>(J465+J470)- J474</f>
        <v>1565838.8699999999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915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916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15600000</v>
      </c>
      <c r="G493" s="18">
        <v>42695000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5.46</v>
      </c>
      <c r="G494" s="18">
        <v>3.7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403876.05</v>
      </c>
      <c r="G495" s="18">
        <v>12362752.16</v>
      </c>
      <c r="H495" s="18"/>
      <c r="I495" s="18"/>
      <c r="J495" s="18"/>
      <c r="K495" s="53">
        <f>SUM(F495:J495)</f>
        <v>12766628.210000001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403876.05</v>
      </c>
      <c r="G497" s="18">
        <v>1800925.92</v>
      </c>
      <c r="H497" s="18"/>
      <c r="I497" s="18"/>
      <c r="J497" s="18"/>
      <c r="K497" s="53">
        <f t="shared" si="35"/>
        <v>2204801.9699999997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0</v>
      </c>
      <c r="G498" s="204">
        <v>10561826.24</v>
      </c>
      <c r="H498" s="204"/>
      <c r="I498" s="204"/>
      <c r="J498" s="204"/>
      <c r="K498" s="205">
        <f t="shared" si="35"/>
        <v>10561826.24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0</v>
      </c>
      <c r="G499" s="18">
        <v>11663561.76</v>
      </c>
      <c r="H499" s="18"/>
      <c r="I499" s="18"/>
      <c r="J499" s="18"/>
      <c r="K499" s="53">
        <f t="shared" si="35"/>
        <v>11663561.76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22225388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22225388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>
        <v>1720739.82</v>
      </c>
      <c r="H501" s="204"/>
      <c r="I501" s="204"/>
      <c r="J501" s="204"/>
      <c r="K501" s="205">
        <f t="shared" si="35"/>
        <v>1720739.82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>
        <v>1467213.18</v>
      </c>
      <c r="H502" s="18"/>
      <c r="I502" s="18"/>
      <c r="J502" s="18"/>
      <c r="K502" s="53">
        <f t="shared" si="35"/>
        <v>1467213.18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3187953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3187953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1812159.71</v>
      </c>
      <c r="G522" s="18">
        <v>776533.06</v>
      </c>
      <c r="H522" s="18">
        <v>864859.74</v>
      </c>
      <c r="I522" s="18">
        <v>28564.639999999999</v>
      </c>
      <c r="J522" s="18">
        <v>13220.49</v>
      </c>
      <c r="K522" s="18"/>
      <c r="L522" s="88">
        <f>SUM(F522:K522)</f>
        <v>3495337.64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1683572.2</v>
      </c>
      <c r="G523" s="18">
        <v>716799.75</v>
      </c>
      <c r="H523" s="18">
        <v>1078296.46</v>
      </c>
      <c r="I523" s="18">
        <v>34486.519999999997</v>
      </c>
      <c r="J523" s="18">
        <v>24212.23</v>
      </c>
      <c r="K523" s="18"/>
      <c r="L523" s="88">
        <f>SUM(F523:K523)</f>
        <v>3537367.16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3495731.91</v>
      </c>
      <c r="G524" s="108">
        <f t="shared" ref="G524:L524" si="36">SUM(G521:G523)</f>
        <v>1493332.81</v>
      </c>
      <c r="H524" s="108">
        <f t="shared" si="36"/>
        <v>1943156.2</v>
      </c>
      <c r="I524" s="108">
        <f t="shared" si="36"/>
        <v>63051.159999999996</v>
      </c>
      <c r="J524" s="108">
        <f t="shared" si="36"/>
        <v>37432.720000000001</v>
      </c>
      <c r="K524" s="108">
        <f t="shared" si="36"/>
        <v>0</v>
      </c>
      <c r="L524" s="89">
        <f t="shared" si="36"/>
        <v>7032704.8000000007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1112970.67</v>
      </c>
      <c r="G527" s="18">
        <v>475198.77</v>
      </c>
      <c r="H527" s="18">
        <v>45098.27</v>
      </c>
      <c r="I527" s="18">
        <v>10724.77</v>
      </c>
      <c r="J527" s="18"/>
      <c r="K527" s="18"/>
      <c r="L527" s="88">
        <f>SUM(F527:K527)</f>
        <v>1643992.48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1462113.04</v>
      </c>
      <c r="G528" s="18">
        <v>613931.14</v>
      </c>
      <c r="H528" s="18">
        <v>114793.33</v>
      </c>
      <c r="I528" s="18">
        <v>35745.57</v>
      </c>
      <c r="J528" s="18"/>
      <c r="K528" s="18"/>
      <c r="L528" s="88">
        <f>SUM(F528:K528)</f>
        <v>2226583.08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2575083.71</v>
      </c>
      <c r="G529" s="89">
        <f t="shared" ref="G529:L529" si="37">SUM(G526:G528)</f>
        <v>1089129.9100000001</v>
      </c>
      <c r="H529" s="89">
        <f t="shared" si="37"/>
        <v>159891.6</v>
      </c>
      <c r="I529" s="89">
        <f t="shared" si="37"/>
        <v>46470.34</v>
      </c>
      <c r="J529" s="89">
        <f t="shared" si="37"/>
        <v>0</v>
      </c>
      <c r="K529" s="89">
        <f t="shared" si="37"/>
        <v>0</v>
      </c>
      <c r="L529" s="89">
        <f t="shared" si="37"/>
        <v>3870575.56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236385.2</v>
      </c>
      <c r="G532" s="18">
        <v>99555.520000000004</v>
      </c>
      <c r="H532" s="18"/>
      <c r="I532" s="18"/>
      <c r="J532" s="18"/>
      <c r="K532" s="18"/>
      <c r="L532" s="88">
        <f>SUM(F532:K532)</f>
        <v>335940.72000000003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154515.38</v>
      </c>
      <c r="G533" s="18">
        <v>66370.350000000006</v>
      </c>
      <c r="H533" s="18"/>
      <c r="I533" s="18"/>
      <c r="J533" s="18"/>
      <c r="K533" s="18"/>
      <c r="L533" s="88">
        <f>SUM(F533:K533)</f>
        <v>220885.73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390900.58</v>
      </c>
      <c r="G534" s="89">
        <f t="shared" ref="G534:L534" si="38">SUM(G531:G533)</f>
        <v>165925.87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556826.45000000007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13986.7</v>
      </c>
      <c r="I537" s="18"/>
      <c r="J537" s="18"/>
      <c r="K537" s="18"/>
      <c r="L537" s="88">
        <f>SUM(F537:K537)</f>
        <v>13986.7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13986.7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13986.7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220400.67</v>
      </c>
      <c r="I542" s="18"/>
      <c r="J542" s="18"/>
      <c r="K542" s="18"/>
      <c r="L542" s="88">
        <f>SUM(F542:K542)</f>
        <v>220400.67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360973.24</v>
      </c>
      <c r="I543" s="18"/>
      <c r="J543" s="18"/>
      <c r="K543" s="18"/>
      <c r="L543" s="88">
        <f>SUM(F543:K543)</f>
        <v>360973.24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581373.91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581373.91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6461716.2000000002</v>
      </c>
      <c r="G545" s="89">
        <f t="shared" ref="G545:L545" si="41">G524+G529+G534+G539+G544</f>
        <v>2748388.5900000003</v>
      </c>
      <c r="H545" s="89">
        <f t="shared" si="41"/>
        <v>2698408.41</v>
      </c>
      <c r="I545" s="89">
        <f t="shared" si="41"/>
        <v>109521.5</v>
      </c>
      <c r="J545" s="89">
        <f t="shared" si="41"/>
        <v>37432.720000000001</v>
      </c>
      <c r="K545" s="89">
        <f t="shared" si="41"/>
        <v>0</v>
      </c>
      <c r="L545" s="89">
        <f t="shared" si="41"/>
        <v>12055467.42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3495337.64</v>
      </c>
      <c r="G550" s="87">
        <f>L527</f>
        <v>1643992.48</v>
      </c>
      <c r="H550" s="87">
        <f>L532</f>
        <v>335940.72000000003</v>
      </c>
      <c r="I550" s="87">
        <f>L537</f>
        <v>13986.7</v>
      </c>
      <c r="J550" s="87">
        <f>L542</f>
        <v>220400.67</v>
      </c>
      <c r="K550" s="87">
        <f>SUM(F550:J550)</f>
        <v>5709658.21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3537367.16</v>
      </c>
      <c r="G551" s="87">
        <f>L528</f>
        <v>2226583.08</v>
      </c>
      <c r="H551" s="87">
        <f>L533</f>
        <v>220885.73</v>
      </c>
      <c r="I551" s="87">
        <f>L538</f>
        <v>0</v>
      </c>
      <c r="J551" s="87">
        <f>L543</f>
        <v>360973.24</v>
      </c>
      <c r="K551" s="87">
        <f>SUM(F551:J551)</f>
        <v>6345809.2100000009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7032704.8000000007</v>
      </c>
      <c r="G552" s="89">
        <f t="shared" si="42"/>
        <v>3870575.56</v>
      </c>
      <c r="H552" s="89">
        <f t="shared" si="42"/>
        <v>556826.45000000007</v>
      </c>
      <c r="I552" s="89">
        <f t="shared" si="42"/>
        <v>13986.7</v>
      </c>
      <c r="J552" s="89">
        <f t="shared" si="42"/>
        <v>581373.91</v>
      </c>
      <c r="K552" s="89">
        <f t="shared" si="42"/>
        <v>12055467.420000002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90812.4</v>
      </c>
      <c r="G563" s="18">
        <v>38141.21</v>
      </c>
      <c r="H563" s="18"/>
      <c r="I563" s="18"/>
      <c r="J563" s="18"/>
      <c r="K563" s="18"/>
      <c r="L563" s="88">
        <f>SUM(F563:K563)</f>
        <v>128953.60999999999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16202.96</v>
      </c>
      <c r="G564" s="18">
        <v>6805.24</v>
      </c>
      <c r="H564" s="18"/>
      <c r="I564" s="18"/>
      <c r="J564" s="18"/>
      <c r="K564" s="18"/>
      <c r="L564" s="88">
        <f>SUM(F564:K564)</f>
        <v>23008.199999999997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107015.35999999999</v>
      </c>
      <c r="G565" s="89">
        <f t="shared" si="44"/>
        <v>44946.45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151961.81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107015.35999999999</v>
      </c>
      <c r="G571" s="89">
        <f t="shared" ref="G571:L571" si="46">G560+G565+G570</f>
        <v>44946.45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151961.81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739345.98</v>
      </c>
      <c r="H582" s="18">
        <v>861809.28</v>
      </c>
      <c r="I582" s="87">
        <f t="shared" si="47"/>
        <v>1601155.26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>
        <v>603161.18999999994</v>
      </c>
      <c r="J591" s="18">
        <v>603005.44999999995</v>
      </c>
      <c r="K591" s="104">
        <f t="shared" ref="K591:K597" si="48">SUM(H591:J591)</f>
        <v>1206166.6399999999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>
        <v>220400.67</v>
      </c>
      <c r="J592" s="18">
        <v>360973.24</v>
      </c>
      <c r="K592" s="104">
        <f t="shared" si="48"/>
        <v>581373.91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77003.66</v>
      </c>
      <c r="K593" s="104">
        <f t="shared" si="48"/>
        <v>77003.66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19150.330000000002</v>
      </c>
      <c r="J594" s="18">
        <v>113433.3</v>
      </c>
      <c r="K594" s="104">
        <f t="shared" si="48"/>
        <v>132583.63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>
        <v>41893.96</v>
      </c>
      <c r="J597" s="18"/>
      <c r="K597" s="104">
        <f t="shared" si="48"/>
        <v>41893.96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884606.14999999991</v>
      </c>
      <c r="J598" s="108">
        <f>SUM(J591:J597)</f>
        <v>1154415.6499999999</v>
      </c>
      <c r="K598" s="108">
        <f>SUM(K591:K597)</f>
        <v>2039021.7999999998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>
        <v>123196.99</v>
      </c>
      <c r="J604" s="18">
        <v>193144.59</v>
      </c>
      <c r="K604" s="104">
        <f>SUM(H604:J604)</f>
        <v>316341.58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123196.99</v>
      </c>
      <c r="J605" s="108">
        <f>SUM(J602:J604)</f>
        <v>193144.59</v>
      </c>
      <c r="K605" s="108">
        <f>SUM(K602:K604)</f>
        <v>316341.58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34038.86</v>
      </c>
      <c r="G612" s="18"/>
      <c r="H612" s="18"/>
      <c r="I612" s="18"/>
      <c r="J612" s="18"/>
      <c r="K612" s="18"/>
      <c r="L612" s="88">
        <f>SUM(F612:K612)</f>
        <v>34038.86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55982.71</v>
      </c>
      <c r="G613" s="18"/>
      <c r="H613" s="18"/>
      <c r="I613" s="18"/>
      <c r="J613" s="18"/>
      <c r="K613" s="18"/>
      <c r="L613" s="88">
        <f>SUM(F613:K613)</f>
        <v>55982.71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90021.57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90021.57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5750473.8799999999</v>
      </c>
      <c r="H617" s="109">
        <f>SUM(F52)</f>
        <v>5750473.879999999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350870.91000000003</v>
      </c>
      <c r="H618" s="109">
        <f>SUM(G52)</f>
        <v>350870.91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541166.68999999994</v>
      </c>
      <c r="H619" s="109">
        <f>SUM(H52)</f>
        <v>541166.69000000006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1565838.8699999999</v>
      </c>
      <c r="H621" s="109">
        <f>SUM(J52)</f>
        <v>1565838.8699999999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4002077.5599999996</v>
      </c>
      <c r="H622" s="109">
        <f>F476</f>
        <v>4002077.5599999949</v>
      </c>
      <c r="I622" s="121" t="s">
        <v>101</v>
      </c>
      <c r="J622" s="109">
        <f t="shared" ref="J622:J655" si="50">G622-H622</f>
        <v>4.6566128730773926E-9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317572.90999999997</v>
      </c>
      <c r="H623" s="109">
        <f>G476</f>
        <v>317572.91000000003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489893.27</v>
      </c>
      <c r="H624" s="109">
        <f>H476</f>
        <v>489893.27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1565838.8699999999</v>
      </c>
      <c r="H626" s="109">
        <f>J476</f>
        <v>1565838.8699999999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53616499.909999996</v>
      </c>
      <c r="H627" s="104">
        <f>SUM(F468)</f>
        <v>53616499.909999996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1034638.83</v>
      </c>
      <c r="H628" s="104">
        <f>SUM(G468)</f>
        <v>1034638.83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1095423.6800000002</v>
      </c>
      <c r="H629" s="104">
        <f>SUM(H468)</f>
        <v>1095423.68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99691.48</v>
      </c>
      <c r="H631" s="104">
        <f>SUM(J468)</f>
        <v>99691.48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52415533.079999998</v>
      </c>
      <c r="H632" s="104">
        <f>SUM(F472)</f>
        <v>52415533.079999998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1137603.6499999999</v>
      </c>
      <c r="H633" s="104">
        <f>SUM(H472)</f>
        <v>1137603.6499999999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510701.88</v>
      </c>
      <c r="H634" s="104">
        <f>I369</f>
        <v>510701.88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996221.86</v>
      </c>
      <c r="H635" s="104">
        <f>SUM(G472)</f>
        <v>996221.86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99691.48</v>
      </c>
      <c r="H637" s="164">
        <f>SUM(J468)</f>
        <v>99691.48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401308.19</v>
      </c>
      <c r="H639" s="104">
        <f>SUM(F461)</f>
        <v>401308.19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1164530.68</v>
      </c>
      <c r="H640" s="104">
        <f>SUM(G461)</f>
        <v>1164530.68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1565838.8699999999</v>
      </c>
      <c r="H642" s="104">
        <f>SUM(I461)</f>
        <v>1565838.8699999999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14691.48</v>
      </c>
      <c r="H644" s="104">
        <f>H408</f>
        <v>14691.48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99691.48</v>
      </c>
      <c r="H646" s="104">
        <f>L408</f>
        <v>99691.48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2039021.7999999998</v>
      </c>
      <c r="H647" s="104">
        <f>L208+L226+L244</f>
        <v>2039021.7999999998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316341.58</v>
      </c>
      <c r="H648" s="104">
        <f>(J257+J338)-(J255+J336)</f>
        <v>316341.57999999996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884606.15</v>
      </c>
      <c r="H650" s="104">
        <f>I598</f>
        <v>884606.14999999991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1154415.6499999999</v>
      </c>
      <c r="H651" s="104">
        <f>J598</f>
        <v>1154415.6499999999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20816239.949999999</v>
      </c>
      <c r="H660" s="19">
        <f>(L247+L328+L360)</f>
        <v>28482295.839999996</v>
      </c>
      <c r="I660" s="19">
        <f>SUM(F660:H660)</f>
        <v>49298535.789999992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296441.00257100863</v>
      </c>
      <c r="H661" s="19">
        <f>(L360/IF(SUM(L358:L360)=0,1,SUM(L358:L360))*(SUM(G97:G110)))</f>
        <v>500573.05742899131</v>
      </c>
      <c r="I661" s="19">
        <f>SUM(F661:H661)</f>
        <v>797014.05999999994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884606.15</v>
      </c>
      <c r="H662" s="19">
        <f>(L244+L325)-(J244+J325)</f>
        <v>1154415.6499999999</v>
      </c>
      <c r="I662" s="19">
        <f>SUM(F662:H662)</f>
        <v>2039021.7999999998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896581.83</v>
      </c>
      <c r="H663" s="199">
        <f>SUM(H575:H587)+SUM(J602:J604)+L613</f>
        <v>1110936.58</v>
      </c>
      <c r="I663" s="19">
        <f>SUM(F663:H663)</f>
        <v>2007518.4100000001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18738610.96742899</v>
      </c>
      <c r="H664" s="19">
        <f>H660-SUM(H661:H663)</f>
        <v>25716370.552571006</v>
      </c>
      <c r="I664" s="19">
        <f>I660-SUM(I661:I663)</f>
        <v>44454981.519999996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1318.56</v>
      </c>
      <c r="H665" s="248">
        <v>1670.38</v>
      </c>
      <c r="I665" s="19">
        <f>SUM(F665:H665)</f>
        <v>2988.94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14211.42</v>
      </c>
      <c r="H667" s="19">
        <f>ROUND(H664/H665,2)</f>
        <v>15395.52</v>
      </c>
      <c r="I667" s="19">
        <f>ROUND(I664/I665,2)</f>
        <v>14873.16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117.16</v>
      </c>
      <c r="I670" s="19">
        <f>SUM(F670:H670)</f>
        <v>117.16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>
        <f>ROUND((G664+G669)/(G665+G670),2)</f>
        <v>14211.42</v>
      </c>
      <c r="H672" s="19">
        <f>ROUND((H664+H669)/(H665+H670),2)</f>
        <v>14386.46</v>
      </c>
      <c r="I672" s="19">
        <f>ROUND((I664+I669)/(I665+I670),2)</f>
        <v>14312.15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EXETER REGION COOPERATIVE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13653229.9</v>
      </c>
      <c r="C9" s="229">
        <f>'DOE25'!G197+'DOE25'!G215+'DOE25'!G233+'DOE25'!G276+'DOE25'!G295+'DOE25'!G314</f>
        <v>5779184.4000000004</v>
      </c>
    </row>
    <row r="10" spans="1:3" x14ac:dyDescent="0.2">
      <c r="A10" t="s">
        <v>778</v>
      </c>
      <c r="B10" s="240">
        <v>13293853.390000001</v>
      </c>
      <c r="C10" s="240">
        <v>5605808.8700000001</v>
      </c>
    </row>
    <row r="11" spans="1:3" x14ac:dyDescent="0.2">
      <c r="A11" t="s">
        <v>779</v>
      </c>
      <c r="B11" s="240">
        <v>199056.29</v>
      </c>
      <c r="C11" s="240">
        <v>104025.32</v>
      </c>
    </row>
    <row r="12" spans="1:3" x14ac:dyDescent="0.2">
      <c r="A12" t="s">
        <v>780</v>
      </c>
      <c r="B12" s="240">
        <v>160320.22</v>
      </c>
      <c r="C12" s="240">
        <v>69350.210000000006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13653229.9</v>
      </c>
      <c r="C13" s="231">
        <f>SUM(C10:C12)</f>
        <v>5779184.4000000004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3886632.54</v>
      </c>
      <c r="C18" s="229">
        <f>'DOE25'!G198+'DOE25'!G216+'DOE25'!G234+'DOE25'!G277+'DOE25'!G296+'DOE25'!G315</f>
        <v>1659258.6800000002</v>
      </c>
    </row>
    <row r="19" spans="1:3" x14ac:dyDescent="0.2">
      <c r="A19" t="s">
        <v>778</v>
      </c>
      <c r="B19" s="240">
        <v>2145474.4700000002</v>
      </c>
      <c r="C19" s="240">
        <v>912592.27</v>
      </c>
    </row>
    <row r="20" spans="1:3" x14ac:dyDescent="0.2">
      <c r="A20" t="s">
        <v>779</v>
      </c>
      <c r="B20" s="240">
        <v>1350257.49</v>
      </c>
      <c r="C20" s="240">
        <v>580740.54</v>
      </c>
    </row>
    <row r="21" spans="1:3" x14ac:dyDescent="0.2">
      <c r="A21" t="s">
        <v>780</v>
      </c>
      <c r="B21" s="240">
        <v>390900.58</v>
      </c>
      <c r="C21" s="240">
        <v>165925.87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3886632.54</v>
      </c>
      <c r="C22" s="231">
        <f>SUM(C19:C21)</f>
        <v>1659258.6800000002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1628917.03</v>
      </c>
      <c r="C27" s="234">
        <f>'DOE25'!G199+'DOE25'!G217+'DOE25'!G235+'DOE25'!G278+'DOE25'!G297+'DOE25'!G316</f>
        <v>691110.28</v>
      </c>
    </row>
    <row r="28" spans="1:3" x14ac:dyDescent="0.2">
      <c r="A28" t="s">
        <v>778</v>
      </c>
      <c r="B28" s="240">
        <v>1186965.24</v>
      </c>
      <c r="C28" s="240">
        <v>504510.5</v>
      </c>
    </row>
    <row r="29" spans="1:3" x14ac:dyDescent="0.2">
      <c r="A29" t="s">
        <v>779</v>
      </c>
      <c r="B29" s="240">
        <v>134271.91</v>
      </c>
      <c r="C29" s="240">
        <v>55288.82</v>
      </c>
    </row>
    <row r="30" spans="1:3" x14ac:dyDescent="0.2">
      <c r="A30" t="s">
        <v>780</v>
      </c>
      <c r="B30" s="240">
        <v>307679.88</v>
      </c>
      <c r="C30" s="240">
        <v>131310.96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1628917.0299999998</v>
      </c>
      <c r="C31" s="231">
        <f>SUM(C28:C30)</f>
        <v>691110.27999999991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694157.81</v>
      </c>
      <c r="C36" s="235">
        <f>'DOE25'!G200+'DOE25'!G218+'DOE25'!G236+'DOE25'!G279+'DOE25'!G298+'DOE25'!G317</f>
        <v>292752.91000000003</v>
      </c>
    </row>
    <row r="37" spans="1:3" x14ac:dyDescent="0.2">
      <c r="A37" t="s">
        <v>778</v>
      </c>
      <c r="B37" s="240">
        <v>694157.81</v>
      </c>
      <c r="C37" s="240">
        <v>292752.90999999997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694157.81</v>
      </c>
      <c r="C40" s="231">
        <f>SUM(C37:C39)</f>
        <v>292752.90999999997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F15" sqref="F1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EXETER REGION COOPERATIVE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31064736.619999997</v>
      </c>
      <c r="D5" s="20">
        <f>SUM('DOE25'!L197:L200)+SUM('DOE25'!L215:L218)+SUM('DOE25'!L233:L236)-F5-G5</f>
        <v>30988127.619999997</v>
      </c>
      <c r="E5" s="243"/>
      <c r="F5" s="255">
        <f>SUM('DOE25'!J197:J200)+SUM('DOE25'!J215:J218)+SUM('DOE25'!J233:J236)</f>
        <v>64804.5</v>
      </c>
      <c r="G5" s="53">
        <f>SUM('DOE25'!K197:K200)+SUM('DOE25'!K215:K218)+SUM('DOE25'!K233:K236)</f>
        <v>11804.5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3870575.56</v>
      </c>
      <c r="D6" s="20">
        <f>'DOE25'!L202+'DOE25'!L220+'DOE25'!L238-F6-G6</f>
        <v>3870575.56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2077900.91</v>
      </c>
      <c r="D7" s="20">
        <f>'DOE25'!L203+'DOE25'!L221+'DOE25'!L239-F7-G7</f>
        <v>1840187.3199999998</v>
      </c>
      <c r="E7" s="243"/>
      <c r="F7" s="255">
        <f>'DOE25'!J203+'DOE25'!J221+'DOE25'!J239</f>
        <v>229188.59000000003</v>
      </c>
      <c r="G7" s="53">
        <f>'DOE25'!K203+'DOE25'!K221+'DOE25'!K239</f>
        <v>8525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1002946.7300000001</v>
      </c>
      <c r="D8" s="243"/>
      <c r="E8" s="20">
        <f>'DOE25'!L204+'DOE25'!L222+'DOE25'!L240-F8-G8-D9-D11</f>
        <v>1002946.7300000001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76051.570000000007</v>
      </c>
      <c r="D9" s="244">
        <v>76051.570000000007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20450</v>
      </c>
      <c r="D10" s="243"/>
      <c r="E10" s="244">
        <v>20450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154622.10999999999</v>
      </c>
      <c r="D11" s="244">
        <v>154622.10999999999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2154338.63</v>
      </c>
      <c r="D12" s="20">
        <f>'DOE25'!L205+'DOE25'!L223+'DOE25'!L241-F12-G12</f>
        <v>2130989.0299999998</v>
      </c>
      <c r="E12" s="243"/>
      <c r="F12" s="255">
        <f>'DOE25'!J205+'DOE25'!J223+'DOE25'!J241</f>
        <v>5742.65</v>
      </c>
      <c r="G12" s="53">
        <f>'DOE25'!K205+'DOE25'!K223+'DOE25'!K241</f>
        <v>17606.95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5076532.5599999996</v>
      </c>
      <c r="D14" s="20">
        <f>'DOE25'!L207+'DOE25'!L225+'DOE25'!L243-F14-G14</f>
        <v>5069278.6999999993</v>
      </c>
      <c r="E14" s="243"/>
      <c r="F14" s="255">
        <f>'DOE25'!J207+'DOE25'!J225+'DOE25'!J243</f>
        <v>7253.86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2039021.7999999998</v>
      </c>
      <c r="D15" s="20">
        <f>'DOE25'!L208+'DOE25'!L226+'DOE25'!L244-F15-G15</f>
        <v>2039021.7999999998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134528.59</v>
      </c>
      <c r="D17" s="20">
        <f>'DOE25'!L251-F17-G17</f>
        <v>134528.59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4434278</v>
      </c>
      <c r="D25" s="243"/>
      <c r="E25" s="243"/>
      <c r="F25" s="258"/>
      <c r="G25" s="256"/>
      <c r="H25" s="257">
        <f>'DOE25'!L260+'DOE25'!L261+'DOE25'!L341+'DOE25'!L342</f>
        <v>4434278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533572.59</v>
      </c>
      <c r="D29" s="20">
        <f>'DOE25'!L358+'DOE25'!L359+'DOE25'!L360-'DOE25'!I367-F29-G29</f>
        <v>506044.60999999993</v>
      </c>
      <c r="E29" s="243"/>
      <c r="F29" s="255">
        <f>'DOE25'!J358+'DOE25'!J359+'DOE25'!J360</f>
        <v>25526.34</v>
      </c>
      <c r="G29" s="53">
        <f>'DOE25'!K358+'DOE25'!K359+'DOE25'!K360</f>
        <v>2001.64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1137603.6500000001</v>
      </c>
      <c r="D31" s="20">
        <f>'DOE25'!L290+'DOE25'!L309+'DOE25'!L328+'DOE25'!L333+'DOE25'!L334+'DOE25'!L335-F31-G31</f>
        <v>403420.32000000018</v>
      </c>
      <c r="E31" s="243"/>
      <c r="F31" s="255">
        <f>'DOE25'!J290+'DOE25'!J309+'DOE25'!J328+'DOE25'!J333+'DOE25'!J334+'DOE25'!J335</f>
        <v>9351.98</v>
      </c>
      <c r="G31" s="53">
        <f>'DOE25'!K290+'DOE25'!K309+'DOE25'!K328+'DOE25'!K333+'DOE25'!K334+'DOE25'!K335</f>
        <v>724831.35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47212847.229999997</v>
      </c>
      <c r="E33" s="246">
        <f>SUM(E5:E31)</f>
        <v>1023396.7300000001</v>
      </c>
      <c r="F33" s="246">
        <f>SUM(F5:F31)</f>
        <v>341867.92000000004</v>
      </c>
      <c r="G33" s="246">
        <f>SUM(G5:G31)</f>
        <v>764769.44</v>
      </c>
      <c r="H33" s="246">
        <f>SUM(H5:H31)</f>
        <v>4434278</v>
      </c>
    </row>
    <row r="35" spans="2:8" ht="12" thickBot="1" x14ac:dyDescent="0.25">
      <c r="B35" s="253" t="s">
        <v>846</v>
      </c>
      <c r="D35" s="254">
        <f>E33</f>
        <v>1023396.7300000001</v>
      </c>
      <c r="E35" s="249"/>
    </row>
    <row r="36" spans="2:8" ht="12" thickTop="1" x14ac:dyDescent="0.2">
      <c r="B36" t="s">
        <v>814</v>
      </c>
      <c r="D36" s="20">
        <f>D33</f>
        <v>47212847.229999997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41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REGION COOPERATIVE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50287.94</v>
      </c>
      <c r="D8" s="95">
        <f>'DOE25'!G9</f>
        <v>0</v>
      </c>
      <c r="E8" s="95">
        <f>'DOE25'!H9</f>
        <v>318533.2</v>
      </c>
      <c r="F8" s="95">
        <f>'DOE25'!I9</f>
        <v>0</v>
      </c>
      <c r="G8" s="95">
        <f>'DOE25'!J9</f>
        <v>1565838.8699999999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4895029.59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44996.72</v>
      </c>
      <c r="D11" s="95">
        <f>'DOE25'!G12</f>
        <v>310654.94</v>
      </c>
      <c r="E11" s="95">
        <f>'DOE25'!H12</f>
        <v>176679.83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424749.67</v>
      </c>
      <c r="D12" s="95">
        <f>'DOE25'!G13</f>
        <v>37609.440000000002</v>
      </c>
      <c r="E12" s="95">
        <f>'DOE25'!H13</f>
        <v>44996.72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46305.97</v>
      </c>
      <c r="D13" s="95">
        <f>'DOE25'!G14</f>
        <v>2606.5300000000002</v>
      </c>
      <c r="E13" s="95">
        <f>'DOE25'!H14</f>
        <v>956.94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289103.99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5750473.8799999999</v>
      </c>
      <c r="D18" s="41">
        <f>SUM(D8:D17)</f>
        <v>350870.91000000003</v>
      </c>
      <c r="E18" s="41">
        <f>SUM(E8:E17)</f>
        <v>541166.68999999994</v>
      </c>
      <c r="F18" s="41">
        <f>SUM(F8:F17)</f>
        <v>0</v>
      </c>
      <c r="G18" s="41">
        <f>SUM(G8:G17)</f>
        <v>1565838.8699999999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487334.77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1062821.56</v>
      </c>
      <c r="D22" s="95">
        <f>'DOE25'!G23</f>
        <v>0</v>
      </c>
      <c r="E22" s="95">
        <f>'DOE25'!H23</f>
        <v>44996.72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118884.66</v>
      </c>
      <c r="D23" s="95">
        <f>'DOE25'!G24</f>
        <v>18.8</v>
      </c>
      <c r="E23" s="95">
        <f>'DOE25'!H24</f>
        <v>526.70000000000005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37783.93</v>
      </c>
      <c r="D27" s="95">
        <f>'DOE25'!G28</f>
        <v>519.47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32759.73</v>
      </c>
      <c r="E29" s="95">
        <f>'DOE25'!H30</f>
        <v>5750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41571.4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1748396.3199999998</v>
      </c>
      <c r="D31" s="41">
        <f>SUM(D21:D30)</f>
        <v>33298</v>
      </c>
      <c r="E31" s="41">
        <f>SUM(E21:E30)</f>
        <v>51273.42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317572.90999999997</v>
      </c>
      <c r="E47" s="95">
        <f>'DOE25'!H48</f>
        <v>489893.27</v>
      </c>
      <c r="F47" s="95">
        <f>'DOE25'!I48</f>
        <v>0</v>
      </c>
      <c r="G47" s="95">
        <f>'DOE25'!J48</f>
        <v>1565838.8699999999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613831.30000000005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3338246.26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4002077.5599999996</v>
      </c>
      <c r="D50" s="41">
        <f>SUM(D34:D49)</f>
        <v>317572.90999999997</v>
      </c>
      <c r="E50" s="41">
        <f>SUM(E34:E49)</f>
        <v>489893.27</v>
      </c>
      <c r="F50" s="41">
        <f>SUM(F34:F49)</f>
        <v>0</v>
      </c>
      <c r="G50" s="41">
        <f>SUM(G34:G49)</f>
        <v>1565838.8699999999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5750473.879999999</v>
      </c>
      <c r="D51" s="41">
        <f>D50+D31</f>
        <v>350870.91</v>
      </c>
      <c r="E51" s="41">
        <f>E50+E31</f>
        <v>541166.69000000006</v>
      </c>
      <c r="F51" s="41">
        <f>F50+F31</f>
        <v>0</v>
      </c>
      <c r="G51" s="41">
        <f>G50+G31</f>
        <v>1565838.8699999999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36534913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1009517.36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9895.89</v>
      </c>
      <c r="D59" s="95">
        <f>'DOE25'!G96</f>
        <v>77.89</v>
      </c>
      <c r="E59" s="95">
        <f>'DOE25'!H96</f>
        <v>0</v>
      </c>
      <c r="F59" s="95">
        <f>'DOE25'!I96</f>
        <v>0</v>
      </c>
      <c r="G59" s="95">
        <f>'DOE25'!J96</f>
        <v>14691.48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694995.73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463549.97</v>
      </c>
      <c r="D61" s="95">
        <f>SUM('DOE25'!G98:G110)</f>
        <v>102018.33</v>
      </c>
      <c r="E61" s="95">
        <f>SUM('DOE25'!H98:H110)</f>
        <v>749365.53</v>
      </c>
      <c r="F61" s="95">
        <f>SUM('DOE25'!I98:I110)</f>
        <v>0</v>
      </c>
      <c r="G61" s="95">
        <f>SUM('DOE25'!J98:J110)</f>
        <v>35000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1482963.22</v>
      </c>
      <c r="D62" s="130">
        <f>SUM(D57:D61)</f>
        <v>797091.95</v>
      </c>
      <c r="E62" s="130">
        <f>SUM(E57:E61)</f>
        <v>749365.53</v>
      </c>
      <c r="F62" s="130">
        <f>SUM(F57:F61)</f>
        <v>0</v>
      </c>
      <c r="G62" s="130">
        <f>SUM(G57:G61)</f>
        <v>49691.479999999996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38017876.219999999</v>
      </c>
      <c r="D63" s="22">
        <f>D56+D62</f>
        <v>797091.95</v>
      </c>
      <c r="E63" s="22">
        <f>E56+E62</f>
        <v>749365.53</v>
      </c>
      <c r="F63" s="22">
        <f>F56+F62</f>
        <v>0</v>
      </c>
      <c r="G63" s="22">
        <f>G56+G62</f>
        <v>49691.479999999996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6217568.3899999997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5888855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284761.65000000002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12391185.040000001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1425594.36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390789.22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1126429.06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8834.0499999999993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2942812.64</v>
      </c>
      <c r="D78" s="130">
        <f>SUM(D72:D77)</f>
        <v>8834.0499999999993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15333997.680000002</v>
      </c>
      <c r="D81" s="130">
        <f>SUM(D79:D80)+D78+D70</f>
        <v>8834.0499999999993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264626.01</v>
      </c>
      <c r="D88" s="95">
        <f>SUM('DOE25'!G153:G161)</f>
        <v>228712.83</v>
      </c>
      <c r="E88" s="95">
        <f>SUM('DOE25'!H153:H161)</f>
        <v>346058.15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264626.01</v>
      </c>
      <c r="D91" s="131">
        <f>SUM(D85:D90)</f>
        <v>228712.83</v>
      </c>
      <c r="E91" s="131">
        <f>SUM(E85:E90)</f>
        <v>346058.15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53616499.909999996</v>
      </c>
      <c r="D104" s="86">
        <f>D63+D81+D91+D103</f>
        <v>1034638.83</v>
      </c>
      <c r="E104" s="86">
        <f>E63+E81+E91+E103</f>
        <v>1095423.6800000002</v>
      </c>
      <c r="F104" s="86">
        <f>F63+F81+F91+F103</f>
        <v>0</v>
      </c>
      <c r="G104" s="86">
        <f>G63+G81+G103</f>
        <v>99691.48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19892736.449999999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7589531.3000000007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2474478.1399999997</v>
      </c>
      <c r="D111" s="24" t="s">
        <v>288</v>
      </c>
      <c r="E111" s="95">
        <f>('DOE25'!L278)+('DOE25'!L297)+('DOE25'!L316)</f>
        <v>63007.16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1107990.73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134528.59</v>
      </c>
      <c r="D114" s="24" t="s">
        <v>288</v>
      </c>
      <c r="E114" s="95">
        <f>+ SUM('DOE25'!L333:L335)</f>
        <v>352016.20999999996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31199265.210000001</v>
      </c>
      <c r="D115" s="86">
        <f>SUM(D109:D114)</f>
        <v>0</v>
      </c>
      <c r="E115" s="86">
        <f>SUM(E109:E114)</f>
        <v>415023.37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3870575.56</v>
      </c>
      <c r="D118" s="24" t="s">
        <v>288</v>
      </c>
      <c r="E118" s="95">
        <f>+('DOE25'!L281)+('DOE25'!L300)+('DOE25'!L319)</f>
        <v>722580.28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2077900.91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1233620.4100000001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2154338.63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5076532.5599999996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2039021.7999999998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996221.86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16451989.870000001</v>
      </c>
      <c r="D128" s="86">
        <f>SUM(D118:D127)</f>
        <v>996221.86</v>
      </c>
      <c r="E128" s="86">
        <f>SUM(E118:E127)</f>
        <v>722580.28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2204801.9700000002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2229476.0299999998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89504.72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10186.76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-49691.479999999996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280000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4764277.9999999991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52415533.079999998</v>
      </c>
      <c r="D145" s="86">
        <f>(D115+D128+D144)</f>
        <v>996221.86</v>
      </c>
      <c r="E145" s="86">
        <f>(E115+E128+E144)</f>
        <v>1137603.6499999999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1/97</v>
      </c>
      <c r="C152" s="152" t="str">
        <f>'DOE25'!G491</f>
        <v>8/03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1/15/17</v>
      </c>
      <c r="C153" s="152" t="str">
        <f>'DOE25'!G492</f>
        <v>8/15/23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15600000</v>
      </c>
      <c r="C154" s="137">
        <f>'DOE25'!G493</f>
        <v>42695000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5.46</v>
      </c>
      <c r="C155" s="137">
        <f>'DOE25'!G494</f>
        <v>3.7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403876.05</v>
      </c>
      <c r="C156" s="137">
        <f>'DOE25'!G495</f>
        <v>12362752.16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12766628.210000001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403876.05</v>
      </c>
      <c r="C158" s="137">
        <f>'DOE25'!G497</f>
        <v>1800925.92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2204801.9699999997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10561826.24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10561826.24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11663561.76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11663561.76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22225388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22225388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1720739.82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1720739.82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1467213.18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1467213.18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3187953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3187953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EXETER REGION COOPERATIVE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14211</v>
      </c>
    </row>
    <row r="6" spans="1:4" x14ac:dyDescent="0.2">
      <c r="B6" t="s">
        <v>62</v>
      </c>
      <c r="C6" s="179">
        <f>IF('DOE25'!H665+'DOE25'!H670=0,0,ROUND('DOE25'!H672,0))</f>
        <v>14386</v>
      </c>
    </row>
    <row r="7" spans="1:4" x14ac:dyDescent="0.2">
      <c r="B7" t="s">
        <v>704</v>
      </c>
      <c r="C7" s="179">
        <f>IF('DOE25'!I665+'DOE25'!I670=0,0,ROUND('DOE25'!I672,0))</f>
        <v>14312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19892736</v>
      </c>
      <c r="D10" s="182">
        <f>ROUND((C10/$C$28)*100,1)</f>
        <v>38.6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7589531</v>
      </c>
      <c r="D11" s="182">
        <f>ROUND((C11/$C$28)*100,1)</f>
        <v>14.7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2537485</v>
      </c>
      <c r="D12" s="182">
        <f>ROUND((C12/$C$28)*100,1)</f>
        <v>4.9000000000000004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1107991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4593156</v>
      </c>
      <c r="D15" s="182">
        <f t="shared" ref="D15:D27" si="0">ROUND((C15/$C$28)*100,1)</f>
        <v>8.9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2077901</v>
      </c>
      <c r="D16" s="182">
        <f t="shared" si="0"/>
        <v>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1233620</v>
      </c>
      <c r="D17" s="182">
        <f t="shared" si="0"/>
        <v>2.4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2154339</v>
      </c>
      <c r="D18" s="182">
        <f t="shared" si="0"/>
        <v>4.2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5076533</v>
      </c>
      <c r="D20" s="182">
        <f t="shared" si="0"/>
        <v>9.9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2039022</v>
      </c>
      <c r="D21" s="182">
        <f t="shared" si="0"/>
        <v>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486545</v>
      </c>
      <c r="D24" s="182">
        <f t="shared" si="0"/>
        <v>0.9</v>
      </c>
    </row>
    <row r="25" spans="1:4" x14ac:dyDescent="0.2">
      <c r="A25">
        <v>5120</v>
      </c>
      <c r="B25" t="s">
        <v>719</v>
      </c>
      <c r="C25" s="179">
        <f>ROUND('DOE25'!L261+'DOE25'!L342,0)</f>
        <v>2229476</v>
      </c>
      <c r="D25" s="182">
        <f t="shared" si="0"/>
        <v>4.3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280000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199207.94000000006</v>
      </c>
      <c r="D27" s="182">
        <f t="shared" si="0"/>
        <v>0.4</v>
      </c>
    </row>
    <row r="28" spans="1:4" x14ac:dyDescent="0.2">
      <c r="B28" s="187" t="s">
        <v>722</v>
      </c>
      <c r="C28" s="180">
        <f>SUM(C10:C27)</f>
        <v>51497542.939999998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51497542.939999998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2204802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36534913</v>
      </c>
      <c r="D35" s="182">
        <f t="shared" ref="D35:D40" si="1">ROUND((C35/$C$41)*100,1)</f>
        <v>66.400000000000006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2282098.1199999973</v>
      </c>
      <c r="D36" s="182">
        <f t="shared" si="1"/>
        <v>4.0999999999999996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12106423</v>
      </c>
      <c r="D37" s="182">
        <f t="shared" si="1"/>
        <v>22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3236408</v>
      </c>
      <c r="D38" s="182">
        <f t="shared" si="1"/>
        <v>5.9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839397</v>
      </c>
      <c r="D39" s="182">
        <f t="shared" si="1"/>
        <v>1.5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54999239.119999997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EXETER REGION COOPERATIVE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2017-09-13T12:56:12Z</cp:lastPrinted>
  <dcterms:created xsi:type="dcterms:W3CDTF">1997-12-04T19:04:30Z</dcterms:created>
  <dcterms:modified xsi:type="dcterms:W3CDTF">2017-11-29T17:21:03Z</dcterms:modified>
</cp:coreProperties>
</file>