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1570" windowHeight="71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41" i="1" l="1"/>
  <c r="I521" i="1" l="1"/>
  <c r="H533" i="1"/>
  <c r="H531" i="1"/>
  <c r="F526" i="1"/>
  <c r="H78" i="1" l="1"/>
  <c r="H156" i="1"/>
  <c r="F110" i="1"/>
  <c r="H472" i="1"/>
  <c r="I276" i="1"/>
  <c r="H276" i="1"/>
  <c r="F277" i="1"/>
  <c r="K282" i="1"/>
  <c r="H282" i="1"/>
  <c r="K316" i="1"/>
  <c r="I282" i="1"/>
  <c r="G282" i="1"/>
  <c r="G279" i="1"/>
  <c r="F282" i="1"/>
  <c r="F279" i="1"/>
  <c r="F281" i="1"/>
  <c r="H24" i="1" l="1"/>
  <c r="F9" i="1"/>
  <c r="J468" i="1" l="1"/>
  <c r="H367" i="1" l="1"/>
  <c r="I360" i="1"/>
  <c r="F368" i="1" l="1"/>
  <c r="G158" i="1"/>
  <c r="F502" i="1" l="1"/>
  <c r="G198" i="1" l="1"/>
  <c r="F198" i="1"/>
  <c r="F96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C109" i="2" s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D85" i="2" s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L349" i="1"/>
  <c r="L350" i="1"/>
  <c r="E143" i="2" s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G552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D18" i="2" s="1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C113" i="2"/>
  <c r="E113" i="2"/>
  <c r="C114" i="2"/>
  <c r="E114" i="2"/>
  <c r="D115" i="2"/>
  <c r="F115" i="2"/>
  <c r="G115" i="2"/>
  <c r="E120" i="2"/>
  <c r="E121" i="2"/>
  <c r="E122" i="2"/>
  <c r="C123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F460" i="1"/>
  <c r="F461" i="1" s="1"/>
  <c r="H639" i="1" s="1"/>
  <c r="G460" i="1"/>
  <c r="H460" i="1"/>
  <c r="G461" i="1"/>
  <c r="H461" i="1"/>
  <c r="H641" i="1" s="1"/>
  <c r="I470" i="1"/>
  <c r="I476" i="1" s="1"/>
  <c r="H625" i="1" s="1"/>
  <c r="J625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30" i="1"/>
  <c r="H633" i="1"/>
  <c r="H636" i="1"/>
  <c r="H638" i="1"/>
  <c r="H640" i="1"/>
  <c r="G641" i="1"/>
  <c r="G643" i="1"/>
  <c r="J643" i="1" s="1"/>
  <c r="H643" i="1"/>
  <c r="G644" i="1"/>
  <c r="G645" i="1"/>
  <c r="H647" i="1"/>
  <c r="G650" i="1"/>
  <c r="G651" i="1"/>
  <c r="G652" i="1"/>
  <c r="H652" i="1"/>
  <c r="G653" i="1"/>
  <c r="H653" i="1"/>
  <c r="G654" i="1"/>
  <c r="H654" i="1"/>
  <c r="H655" i="1"/>
  <c r="J655" i="1" s="1"/>
  <c r="L256" i="1"/>
  <c r="G164" i="2"/>
  <c r="C26" i="10"/>
  <c r="L328" i="1"/>
  <c r="L351" i="1"/>
  <c r="A31" i="12"/>
  <c r="C70" i="2"/>
  <c r="A40" i="12"/>
  <c r="D18" i="13"/>
  <c r="C18" i="13" s="1"/>
  <c r="D17" i="13"/>
  <c r="C17" i="13" s="1"/>
  <c r="D6" i="13"/>
  <c r="C6" i="13" s="1"/>
  <c r="F78" i="2"/>
  <c r="F81" i="2" s="1"/>
  <c r="D50" i="2"/>
  <c r="F18" i="2"/>
  <c r="G156" i="2"/>
  <c r="E103" i="2"/>
  <c r="E62" i="2"/>
  <c r="E63" i="2" s="1"/>
  <c r="G62" i="2"/>
  <c r="D19" i="13"/>
  <c r="C19" i="13" s="1"/>
  <c r="D14" i="13"/>
  <c r="C14" i="13" s="1"/>
  <c r="E13" i="13"/>
  <c r="C13" i="13" s="1"/>
  <c r="E78" i="2"/>
  <c r="E81" i="2" s="1"/>
  <c r="H112" i="1"/>
  <c r="J571" i="1"/>
  <c r="L433" i="1"/>
  <c r="D81" i="2"/>
  <c r="I169" i="1"/>
  <c r="J140" i="1"/>
  <c r="F571" i="1"/>
  <c r="I552" i="1"/>
  <c r="K550" i="1"/>
  <c r="G22" i="2"/>
  <c r="K545" i="1"/>
  <c r="H552" i="1"/>
  <c r="H140" i="1"/>
  <c r="L401" i="1"/>
  <c r="C139" i="2" s="1"/>
  <c r="L393" i="1"/>
  <c r="C138" i="2" s="1"/>
  <c r="A13" i="12"/>
  <c r="F22" i="13"/>
  <c r="C22" i="13" s="1"/>
  <c r="H25" i="13"/>
  <c r="C25" i="13" s="1"/>
  <c r="H571" i="1"/>
  <c r="J545" i="1"/>
  <c r="H338" i="1"/>
  <c r="H352" i="1" s="1"/>
  <c r="H192" i="1"/>
  <c r="C35" i="10"/>
  <c r="I571" i="1"/>
  <c r="J636" i="1"/>
  <c r="G36" i="2"/>
  <c r="L565" i="1"/>
  <c r="H33" i="13"/>
  <c r="L419" i="1" l="1"/>
  <c r="L614" i="1"/>
  <c r="J552" i="1"/>
  <c r="L529" i="1"/>
  <c r="K551" i="1"/>
  <c r="I545" i="1"/>
  <c r="H545" i="1"/>
  <c r="G545" i="1"/>
  <c r="K549" i="1"/>
  <c r="F552" i="1"/>
  <c r="C29" i="10"/>
  <c r="E109" i="2"/>
  <c r="E119" i="2"/>
  <c r="E128" i="2" s="1"/>
  <c r="L309" i="1"/>
  <c r="G338" i="1"/>
  <c r="G352" i="1" s="1"/>
  <c r="F338" i="1"/>
  <c r="F352" i="1" s="1"/>
  <c r="F662" i="1"/>
  <c r="E115" i="2"/>
  <c r="D15" i="13"/>
  <c r="C15" i="13" s="1"/>
  <c r="H257" i="1"/>
  <c r="H271" i="1" s="1"/>
  <c r="E31" i="2"/>
  <c r="H52" i="1"/>
  <c r="H619" i="1" s="1"/>
  <c r="J619" i="1" s="1"/>
  <c r="K338" i="1"/>
  <c r="K352" i="1" s="1"/>
  <c r="J338" i="1"/>
  <c r="J352" i="1" s="1"/>
  <c r="L290" i="1"/>
  <c r="L338" i="1" s="1"/>
  <c r="L352" i="1" s="1"/>
  <c r="G633" i="1" s="1"/>
  <c r="J633" i="1" s="1"/>
  <c r="G624" i="1"/>
  <c r="J644" i="1"/>
  <c r="J640" i="1"/>
  <c r="J639" i="1"/>
  <c r="J645" i="1"/>
  <c r="K605" i="1"/>
  <c r="G648" i="1" s="1"/>
  <c r="I369" i="1"/>
  <c r="H634" i="1" s="1"/>
  <c r="J634" i="1" s="1"/>
  <c r="F661" i="1"/>
  <c r="C120" i="2"/>
  <c r="C16" i="10"/>
  <c r="C20" i="10"/>
  <c r="C122" i="2"/>
  <c r="C18" i="10"/>
  <c r="D12" i="13"/>
  <c r="C12" i="13" s="1"/>
  <c r="C121" i="2"/>
  <c r="C17" i="10"/>
  <c r="E16" i="13"/>
  <c r="C16" i="13" s="1"/>
  <c r="C21" i="10"/>
  <c r="G649" i="1"/>
  <c r="J649" i="1" s="1"/>
  <c r="H662" i="1"/>
  <c r="I662" i="1" s="1"/>
  <c r="C124" i="2"/>
  <c r="K598" i="1"/>
  <c r="G647" i="1" s="1"/>
  <c r="J647" i="1" s="1"/>
  <c r="J651" i="1"/>
  <c r="C91" i="2"/>
  <c r="D7" i="13"/>
  <c r="C7" i="13" s="1"/>
  <c r="C119" i="2"/>
  <c r="C118" i="2"/>
  <c r="C13" i="10"/>
  <c r="C112" i="2"/>
  <c r="C12" i="10"/>
  <c r="F257" i="1"/>
  <c r="F271" i="1" s="1"/>
  <c r="C110" i="2"/>
  <c r="C11" i="10"/>
  <c r="K257" i="1"/>
  <c r="K271" i="1" s="1"/>
  <c r="J257" i="1"/>
  <c r="J271" i="1" s="1"/>
  <c r="I257" i="1"/>
  <c r="I271" i="1" s="1"/>
  <c r="D5" i="13"/>
  <c r="C5" i="13" s="1"/>
  <c r="C10" i="10"/>
  <c r="G257" i="1"/>
  <c r="G271" i="1" s="1"/>
  <c r="L247" i="1"/>
  <c r="H660" i="1" s="1"/>
  <c r="C115" i="2"/>
  <c r="D127" i="2"/>
  <c r="D128" i="2" s="1"/>
  <c r="D145" i="2" s="1"/>
  <c r="G661" i="1"/>
  <c r="D29" i="13"/>
  <c r="C29" i="13" s="1"/>
  <c r="L362" i="1"/>
  <c r="D91" i="2"/>
  <c r="D31" i="2"/>
  <c r="D51" i="2" s="1"/>
  <c r="J617" i="1"/>
  <c r="C18" i="2"/>
  <c r="F112" i="1"/>
  <c r="C62" i="2"/>
  <c r="C63" i="2" s="1"/>
  <c r="J641" i="1"/>
  <c r="C81" i="2"/>
  <c r="L534" i="1"/>
  <c r="K500" i="1"/>
  <c r="I460" i="1"/>
  <c r="I452" i="1"/>
  <c r="I446" i="1"/>
  <c r="G642" i="1" s="1"/>
  <c r="L211" i="1"/>
  <c r="G81" i="2"/>
  <c r="C19" i="10"/>
  <c r="C15" i="10"/>
  <c r="G112" i="1"/>
  <c r="K503" i="1"/>
  <c r="L544" i="1"/>
  <c r="L524" i="1"/>
  <c r="E33" i="13"/>
  <c r="D35" i="13" s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H193" i="1"/>
  <c r="G169" i="1"/>
  <c r="C39" i="10" s="1"/>
  <c r="G140" i="1"/>
  <c r="F140" i="1"/>
  <c r="G63" i="2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D103" i="2"/>
  <c r="I140" i="1"/>
  <c r="I193" i="1" s="1"/>
  <c r="G630" i="1" s="1"/>
  <c r="J630" i="1" s="1"/>
  <c r="A22" i="12"/>
  <c r="J652" i="1"/>
  <c r="G571" i="1"/>
  <c r="I434" i="1"/>
  <c r="G434" i="1"/>
  <c r="I663" i="1"/>
  <c r="K552" i="1" l="1"/>
  <c r="L545" i="1"/>
  <c r="E145" i="2"/>
  <c r="G629" i="1"/>
  <c r="H468" i="1"/>
  <c r="D31" i="13"/>
  <c r="C31" i="13" s="1"/>
  <c r="F33" i="13"/>
  <c r="F660" i="1"/>
  <c r="F664" i="1" s="1"/>
  <c r="G646" i="1"/>
  <c r="G104" i="2"/>
  <c r="C27" i="10"/>
  <c r="C28" i="10" s="1"/>
  <c r="D19" i="10" s="1"/>
  <c r="G472" i="1"/>
  <c r="G635" i="1"/>
  <c r="I661" i="1"/>
  <c r="H648" i="1"/>
  <c r="J648" i="1" s="1"/>
  <c r="H664" i="1"/>
  <c r="H667" i="1" s="1"/>
  <c r="C128" i="2"/>
  <c r="C145" i="2" s="1"/>
  <c r="G664" i="1"/>
  <c r="G667" i="1" s="1"/>
  <c r="D104" i="2"/>
  <c r="F193" i="1"/>
  <c r="C104" i="2"/>
  <c r="C36" i="10"/>
  <c r="L257" i="1"/>
  <c r="L271" i="1" s="1"/>
  <c r="L408" i="1"/>
  <c r="I461" i="1"/>
  <c r="H642" i="1" s="1"/>
  <c r="J642" i="1" s="1"/>
  <c r="C51" i="2"/>
  <c r="G631" i="1"/>
  <c r="G193" i="1"/>
  <c r="G626" i="1"/>
  <c r="J52" i="1"/>
  <c r="H621" i="1" s="1"/>
  <c r="J621" i="1" s="1"/>
  <c r="C38" i="10"/>
  <c r="G627" i="1" l="1"/>
  <c r="F468" i="1"/>
  <c r="H629" i="1"/>
  <c r="J629" i="1" s="1"/>
  <c r="H470" i="1"/>
  <c r="H476" i="1" s="1"/>
  <c r="H624" i="1" s="1"/>
  <c r="J624" i="1" s="1"/>
  <c r="D33" i="13"/>
  <c r="D36" i="13" s="1"/>
  <c r="I660" i="1"/>
  <c r="I664" i="1" s="1"/>
  <c r="I672" i="1" s="1"/>
  <c r="C7" i="10" s="1"/>
  <c r="H637" i="1"/>
  <c r="H631" i="1"/>
  <c r="J631" i="1" s="1"/>
  <c r="J470" i="1"/>
  <c r="J476" i="1" s="1"/>
  <c r="H626" i="1" s="1"/>
  <c r="J626" i="1" s="1"/>
  <c r="G474" i="1"/>
  <c r="H635" i="1"/>
  <c r="J635" i="1" s="1"/>
  <c r="G672" i="1"/>
  <c r="C5" i="10" s="1"/>
  <c r="G628" i="1"/>
  <c r="G468" i="1"/>
  <c r="G632" i="1"/>
  <c r="F472" i="1"/>
  <c r="H672" i="1"/>
  <c r="C6" i="10" s="1"/>
  <c r="D13" i="10"/>
  <c r="D11" i="10"/>
  <c r="D21" i="10"/>
  <c r="D22" i="10"/>
  <c r="D27" i="10"/>
  <c r="D10" i="10"/>
  <c r="D26" i="10"/>
  <c r="C30" i="10"/>
  <c r="D16" i="10"/>
  <c r="D23" i="10"/>
  <c r="D18" i="10"/>
  <c r="D17" i="10"/>
  <c r="D12" i="10"/>
  <c r="D24" i="10"/>
  <c r="D20" i="10"/>
  <c r="D15" i="10"/>
  <c r="D25" i="10"/>
  <c r="G637" i="1"/>
  <c r="H646" i="1"/>
  <c r="J646" i="1" s="1"/>
  <c r="F672" i="1"/>
  <c r="C4" i="10" s="1"/>
  <c r="F667" i="1"/>
  <c r="C41" i="10"/>
  <c r="D38" i="10" s="1"/>
  <c r="H627" i="1" l="1"/>
  <c r="J627" i="1" s="1"/>
  <c r="F470" i="1"/>
  <c r="J637" i="1"/>
  <c r="I667" i="1"/>
  <c r="G470" i="1"/>
  <c r="G476" i="1" s="1"/>
  <c r="H623" i="1" s="1"/>
  <c r="J623" i="1" s="1"/>
  <c r="H628" i="1"/>
  <c r="J628" i="1" s="1"/>
  <c r="F474" i="1"/>
  <c r="H632" i="1"/>
  <c r="J632" i="1" s="1"/>
  <c r="D28" i="10"/>
  <c r="D37" i="10"/>
  <c r="D36" i="10"/>
  <c r="D35" i="10"/>
  <c r="D40" i="10"/>
  <c r="D39" i="10"/>
  <c r="F476" i="1" l="1"/>
  <c r="H622" i="1" s="1"/>
  <c r="J622" i="1" s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<sst xmlns="http://schemas.openxmlformats.org/spreadsheetml/2006/main" count="3957" uniqueCount="915">
  <si>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</si>
  <si>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</si>
  <si>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</si>
  <si>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</si>
  <si>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</si>
  <si>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</si>
  <si>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</si>
  <si>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</si>
  <si>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</si>
  <si>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</si>
  <si>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</si>
  <si>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</si>
  <si>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</si>
  <si>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</si>
  <si>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</si>
  <si>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</si>
  <si>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</si>
  <si>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</si>
  <si>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</si>
  <si>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</si>
  <si>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</si>
  <si>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</si>
  <si>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</si>
  <si>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</si>
  <si>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</si>
  <si>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</si>
  <si>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</si>
  <si>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</si>
  <si>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</si>
  <si>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</si>
  <si>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</si>
  <si>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</si>
  <si>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</si>
  <si>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</si>
  <si>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</si>
  <si>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</si>
  <si>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</si>
  <si>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</si>
  <si>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</si>
  <si>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</si>
  <si>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</si>
  <si>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</si>
  <si>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</si>
  <si>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</si>
  <si>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</si>
  <si>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</si>
  <si>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</si>
  <si>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</si>
  <si>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</si>
  <si>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</si>
  <si>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</si>
  <si>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</si>
  <si>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</si>
  <si>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</si>
  <si>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</si>
  <si>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</si>
  <si>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</si>
  <si>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</si>
  <si>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</si>
  <si>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</si>
  <si>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</si>
  <si>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</si>
  <si>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</si>
  <si>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</si>
  <si>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</si>
  <si>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</si>
  <si>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</si>
  <si>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</si>
  <si>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</si>
  <si>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</si>
  <si>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</si>
  <si>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</si>
  <si>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</si>
  <si>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</si>
  <si>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</si>
  <si>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</si>
  <si>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</si>
  <si>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</si>
  <si>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</si>
  <si>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</si>
  <si>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</si>
  <si>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</si>
  <si>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</si>
  <si>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</si>
  <si>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</si>
  <si>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</si>
  <si>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</si>
  <si>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</si>
  <si>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</si>
  <si>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</si>
  <si>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</si>
  <si>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</si>
  <si>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</si>
  <si>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</si>
  <si>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</si>
  <si>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</si>
  <si>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</si>
  <si>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</si>
  <si>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</si>
  <si>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</si>
  <si>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</si>
  <si>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</si>
  <si>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</si>
  <si>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</si>
  <si>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</si>
  <si>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</si>
  <si>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</si>
  <si>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</si>
  <si>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</si>
  <si>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</si>
  <si>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</si>
  <si>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</si>
  <si>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</si>
  <si>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</si>
  <si>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</si>
  <si>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</si>
  <si>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</si>
  <si>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</si>
  <si>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</si>
  <si>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</si>
  <si>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</si>
  <si>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</si>
  <si>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</si>
  <si>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</si>
  <si>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</si>
  <si>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</si>
  <si>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</si>
  <si>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</si>
  <si>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</si>
  <si>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</si>
  <si>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</si>
  <si>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</si>
  <si>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</si>
  <si>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</si>
  <si>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</si>
  <si>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</si>
  <si>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</si>
  <si>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</si>
  <si>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</si>
  <si>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</si>
  <si>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</si>
  <si>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</si>
  <si>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</si>
  <si>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</si>
  <si>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</si>
  <si>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</si>
  <si>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</si>
  <si>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</si>
  <si>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</si>
  <si>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</si>
  <si>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</si>
  <si>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</si>
  <si>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</si>
  <si>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</si>
  <si>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</si>
  <si>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</si>
  <si>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</si>
  <si>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</si>
  <si>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</si>
  <si>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</si>
  <si>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</si>
  <si>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</si>
  <si>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</si>
  <si>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</si>
  <si>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</si>
  <si>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</si>
  <si>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</si>
  <si>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</si>
  <si>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</si>
  <si>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</si>
  <si>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</si>
  <si>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</si>
  <si>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</si>
  <si>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</si>
  <si>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</si>
  <si>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</si>
  <si>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</si>
  <si>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</si>
  <si>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</si>
  <si>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</si>
  <si>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</si>
  <si>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</si>
  <si>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</si>
  <si>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</si>
  <si>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</si>
  <si>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</si>
  <si>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</si>
  <si>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</si>
  <si>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</si>
  <si>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</si>
  <si>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</si>
  <si>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</si>
  <si>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</si>
  <si>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</si>
  <si>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</si>
  <si>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</si>
  <si>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</si>
  <si>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</si>
  <si>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</si>
  <si>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</si>
  <si>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</si>
  <si>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</si>
  <si>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</si>
  <si>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</si>
  <si>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</si>
  <si>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</si>
  <si>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</si>
  <si>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</si>
  <si>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</si>
  <si>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</si>
  <si>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</si>
  <si>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</si>
  <si>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</si>
  <si>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</si>
  <si>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</si>
  <si>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</si>
  <si>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</si>
  <si>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</si>
  <si>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</si>
  <si>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</si>
  <si>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</si>
  <si>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</si>
  <si>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</si>
  <si>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</si>
  <si>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</si>
  <si>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</si>
  <si>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</si>
  <si>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</si>
  <si>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</si>
  <si>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</si>
  <si>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</si>
  <si>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</si>
  <si>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</si>
  <si>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</si>
  <si>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</si>
  <si>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</si>
  <si>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</si>
  <si>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</si>
  <si>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</si>
  <si>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</si>
  <si>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</si>
  <si>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</si>
  <si>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</si>
  <si>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</si>
  <si>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</si>
  <si>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</si>
  <si>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</si>
  <si>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</si>
  <si>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</si>
  <si>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</si>
  <si>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</si>
  <si>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</si>
  <si>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</si>
  <si>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</si>
  <si>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</si>
  <si>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</si>
  <si>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</si>
  <si>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</si>
  <si>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</si>
  <si>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</si>
  <si>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</si>
  <si>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</si>
  <si>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</si>
  <si>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</si>
  <si>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</si>
  <si>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</si>
  <si>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</si>
  <si>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</si>
  <si>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</si>
  <si>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</si>
  <si>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</si>
  <si>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</si>
  <si>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</si>
  <si>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</si>
  <si>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</si>
  <si>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</si>
  <si>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</si>
  <si>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</si>
  <si>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</si>
  <si>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</si>
  <si>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</si>
  <si>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</si>
  <si>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</si>
  <si>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</si>
  <si>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</si>
  <si>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</si>
  <si>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</si>
  <si>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</si>
  <si>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</si>
  <si>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</si>
  <si>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</si>
  <si>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</si>
  <si>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</si>
  <si>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</si>
  <si>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</si>
  <si>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</si>
  <si>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</si>
  <si>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</si>
  <si>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</si>
  <si>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</si>
  <si>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</si>
  <si>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</si>
  <si>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</si>
  <si>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</si>
  <si>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</si>
  <si>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</si>
  <si>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</si>
  <si>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</si>
  <si>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</si>
  <si>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</si>
  <si>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</si>
  <si>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</si>
  <si>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</si>
  <si>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</si>
  <si>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</si>
  <si>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</si>
  <si>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</si>
  <si>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</si>
  <si>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</si>
  <si>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</si>
  <si>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</si>
  <si>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</si>
  <si>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</si>
  <si>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</si>
  <si>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</si>
  <si>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</si>
  <si>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</si>
  <si>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</si>
  <si>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</si>
  <si>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</si>
  <si>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</si>
  <si>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</si>
  <si>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</si>
  <si>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</si>
  <si>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</si>
  <si>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</si>
  <si>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</si>
  <si>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</si>
  <si>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</si>
  <si>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</si>
  <si>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</si>
  <si>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</si>
  <si>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</si>
  <si>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</si>
  <si>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</si>
  <si>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</si>
  <si>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</si>
  <si>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</si>
  <si>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</si>
  <si>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</si>
  <si>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</si>
  <si>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</si>
  <si>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</si>
  <si>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</si>
  <si>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</si>
  <si>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</si>
  <si>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</si>
  <si>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</si>
  <si>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</si>
  <si>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</si>
  <si>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</si>
  <si>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</si>
  <si>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</si>
  <si>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</si>
  <si>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</si>
  <si>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</si>
  <si>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</si>
  <si>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</si>
  <si>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</si>
  <si>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</si>
  <si>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</si>
  <si>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</si>
  <si>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</si>
  <si>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</si>
  <si>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</si>
  <si>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</si>
  <si>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</si>
  <si>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</si>
  <si>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</si>
  <si>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</si>
  <si>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</si>
  <si>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</si>
  <si>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</si>
  <si>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</si>
  <si>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</si>
  <si>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</si>
  <si>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</si>
  <si>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</si>
  <si>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</si>
  <si>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</si>
  <si>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</si>
  <si>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</si>
  <si>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</si>
  <si>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</si>
  <si>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</si>
  <si>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</si>
  <si>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</si>
  <si>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</si>
  <si>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</si>
  <si>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</si>
  <si>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</si>
  <si>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</si>
  <si>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</si>
  <si>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</si>
  <si>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</si>
  <si>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</si>
  <si>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</si>
  <si>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</si>
  <si>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</si>
  <si>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</si>
  <si>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</si>
  <si>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</si>
  <si>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</si>
  <si>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</si>
  <si>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</si>
  <si>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</si>
  <si>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</si>
  <si>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</si>
  <si>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</si>
  <si>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</si>
  <si>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</si>
  <si>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</si>
  <si>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</si>
  <si>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</si>
  <si>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</si>
  <si>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</si>
  <si>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</si>
  <si>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</si>
  <si>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</si>
  <si>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</si>
  <si>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</si>
  <si>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</si>
  <si>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</si>
  <si>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</si>
  <si>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</si>
  <si>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</si>
  <si>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</si>
  <si>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</si>
  <si>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</si>
  <si>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</si>
  <si>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</si>
  <si>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</si>
  <si>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</si>
  <si>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</si>
  <si>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</si>
  <si>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</si>
  <si>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</si>
  <si>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</si>
  <si>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</si>
  <si>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</si>
  <si>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</si>
  <si>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</si>
  <si>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</si>
  <si>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</si>
  <si>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</si>
  <si>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</si>
  <si>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</si>
  <si>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</si>
  <si>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</si>
  <si>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</si>
  <si>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</si>
  <si>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</si>
  <si>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</si>
  <si>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</si>
  <si>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</si>
  <si>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</si>
  <si>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</si>
  <si>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</si>
  <si>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</si>
  <si>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</si>
  <si>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</si>
  <si>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</si>
  <si>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</si>
  <si>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</si>
  <si>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</si>
  <si>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</si>
  <si>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</si>
  <si>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</si>
  <si>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</si>
  <si>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</si>
  <si>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</si>
  <si>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</si>
  <si>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</si>
  <si>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</si>
  <si>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</si>
  <si>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</si>
  <si>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</si>
  <si>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</si>
  <si>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</si>
  <si>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</si>
  <si>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</si>
  <si>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</si>
  <si>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</si>
  <si>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</si>
  <si>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</si>
  <si>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</si>
  <si>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</si>
  <si>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</si>
  <si>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</si>
  <si>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</si>
  <si>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</si>
  <si>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</si>
  <si>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</si>
  <si>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</si>
  <si>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</si>
  <si>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</si>
  <si>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</si>
  <si>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</si>
  <si>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</si>
  <si>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</si>
  <si>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</si>
  <si>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</si>
  <si>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</si>
  <si>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</si>
  <si>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</si>
  <si>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</si>
  <si>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</si>
  <si>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</si>
  <si>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</si>
  <si>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</si>
  <si>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</si>
  <si>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</si>
  <si>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</si>
  <si>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</si>
  <si>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</si>
  <si>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</si>
  <si>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</si>
  <si>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</si>
  <si>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</si>
  <si>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</si>
  <si>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</si>
  <si>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</si>
  <si>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</si>
  <si>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</si>
  <si>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</si>
  <si>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</si>
  <si>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</si>
  <si>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</si>
  <si>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</si>
  <si>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</si>
  <si>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</si>
  <si>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</si>
  <si>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</si>
  <si>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</si>
  <si>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</si>
  <si>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</si>
  <si>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</si>
  <si>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</si>
  <si>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</si>
  <si>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</si>
  <si>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</si>
  <si>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</si>
  <si>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</si>
  <si>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</si>
  <si>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</si>
  <si>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</si>
  <si>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</si>
  <si>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</si>
  <si>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</si>
  <si>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</si>
  <si>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</si>
  <si>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</si>
  <si>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</si>
  <si>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</si>
  <si>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</si>
  <si>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</si>
  <si>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</si>
  <si>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</si>
  <si>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</si>
  <si>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</si>
  <si>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</si>
  <si>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</si>
  <si>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</si>
  <si>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</si>
  <si>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</si>
  <si>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</si>
  <si>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</si>
  <si>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</si>
  <si>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</si>
  <si>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</si>
  <si>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</si>
  <si>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</si>
  <si>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</si>
  <si>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</si>
  <si>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</si>
  <si>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</si>
  <si>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</si>
  <si>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</si>
  <si>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</si>
  <si>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</si>
  <si>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</si>
  <si>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</si>
  <si>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</si>
  <si>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</si>
  <si>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</si>
  <si>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</si>
  <si>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</si>
  <si>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</si>
  <si>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</si>
  <si>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</si>
  <si>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</si>
  <si>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</si>
  <si>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</si>
  <si>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</si>
  <si>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</si>
  <si>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</si>
  <si>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</si>
  <si>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</si>
  <si>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</si>
  <si>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</si>
  <si>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</si>
  <si>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</si>
  <si>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</si>
  <si>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</si>
  <si>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</si>
  <si>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</si>
  <si>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</si>
  <si>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</si>
  <si>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</si>
  <si>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</si>
  <si>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</si>
  <si>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</si>
  <si>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</si>
  <si>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</si>
  <si>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</si>
  <si>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</si>
  <si>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</si>
  <si>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</si>
  <si>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</si>
  <si>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</si>
  <si>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</si>
  <si>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</si>
  <si>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</si>
  <si>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</si>
  <si>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</si>
  <si>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</si>
  <si>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</si>
  <si>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</si>
  <si>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</si>
  <si>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</si>
  <si>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</si>
  <si>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</si>
  <si>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</si>
  <si>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</si>
  <si>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</si>
  <si>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</si>
  <si>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</si>
  <si>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</si>
  <si>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</si>
  <si>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</si>
  <si>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</si>
  <si>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</si>
  <si>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</si>
  <si>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</si>
  <si>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</si>
  <si>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</si>
  <si>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</si>
  <si>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</si>
  <si>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</si>
  <si>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</si>
  <si>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</si>
  <si>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</si>
  <si>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</si>
  <si>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</si>
  <si>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</si>
  <si>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</si>
  <si>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</si>
  <si>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</si>
  <si>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</si>
  <si>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</si>
  <si>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</si>
  <si>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</si>
  <si>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</si>
  <si>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</si>
  <si>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</si>
  <si>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</si>
  <si>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</si>
  <si>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</si>
  <si>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</si>
  <si>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</si>
  <si>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</si>
  <si>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</si>
  <si>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</si>
  <si>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</si>
  <si>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</si>
  <si>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</si>
  <si>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</si>
  <si>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</si>
  <si>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</si>
  <si>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</si>
  <si>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</si>
  <si>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</si>
  <si>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</si>
  <si>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</si>
  <si>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</si>
  <si>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</si>
  <si>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</si>
  <si>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</si>
  <si>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</si>
  <si>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</si>
  <si>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</si>
  <si>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</si>
  <si>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</si>
  <si>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</si>
  <si>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</si>
  <si>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</si>
  <si>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</si>
  <si>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</si>
  <si>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</si>
  <si>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</si>
  <si>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</si>
  <si>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</si>
  <si>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</si>
  <si>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</si>
  <si>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</si>
  <si>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</si>
  <si>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</si>
  <si>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</si>
  <si>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</si>
  <si>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</si>
  <si>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</si>
  <si>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</si>
  <si>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</si>
  <si>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</si>
  <si>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</si>
  <si>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</si>
  <si>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</si>
  <si>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</si>
  <si>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</si>
  <si>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</si>
  <si>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</si>
  <si>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</si>
  <si>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</si>
  <si>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</si>
  <si>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</si>
  <si>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</si>
  <si>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</si>
  <si>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</si>
  <si>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</si>
  <si>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</si>
  <si>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</si>
  <si>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</si>
  <si>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</si>
  <si>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</si>
  <si>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</si>
  <si>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</si>
  <si>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</si>
  <si>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</si>
  <si>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</si>
  <si>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</si>
  <si>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</si>
  <si>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</si>
  <si>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</si>
  <si>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</si>
  <si>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</si>
  <si>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</si>
  <si>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</si>
  <si>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</si>
  <si>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</si>
  <si>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</si>
  <si>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</si>
  <si>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</si>
  <si>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</si>
  <si>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</si>
  <si>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</si>
  <si>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</si>
  <si>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</si>
  <si>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</si>
  <si>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</si>
  <si>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</si>
  <si>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</si>
  <si>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</si>
  <si>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</si>
  <si>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</si>
  <si>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</si>
  <si>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</si>
  <si>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</si>
  <si>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</si>
  <si>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</si>
  <si>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</si>
  <si>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</si>
  <si>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</si>
  <si>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</si>
  <si>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</si>
  <si>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</si>
  <si>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</si>
  <si>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</si>
  <si>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</si>
  <si>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</si>
  <si>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</si>
  <si>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</si>
  <si>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</si>
  <si>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</si>
  <si>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</si>
  <si>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</si>
  <si>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</si>
  <si>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</si>
  <si>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</si>
  <si>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</si>
  <si>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</si>
  <si>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</si>
  <si>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</si>
  <si>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</si>
  <si>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</si>
  <si>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</si>
  <si>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</si>
  <si>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</si>
  <si>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</si>
  <si>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</si>
  <si>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</si>
  <si>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</si>
  <si>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</si>
  <si>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</si>
  <si>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</si>
  <si>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</si>
  <si>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</si>
  <si>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</si>
  <si>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</si>
  <si>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</si>
  <si>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</si>
  <si>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</si>
  <si>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</si>
  <si>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</si>
  <si>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</si>
  <si>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</si>
  <si>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</si>
  <si>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</si>
  <si>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</si>
  <si>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</si>
  <si>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</si>
  <si>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</si>
  <si>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</si>
  <si>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</si>
  <si>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</si>
  <si>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</si>
  <si>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</si>
  <si>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</si>
  <si>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</si>
  <si>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</si>
  <si>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</si>
  <si>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</si>
  <si>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</si>
  <si>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</si>
  <si>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</si>
  <si>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</si>
  <si>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</si>
  <si>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</si>
  <si>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</si>
  <si>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</si>
  <si>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</si>
  <si>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</si>
  <si>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</si>
  <si>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</si>
  <si>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</si>
  <si>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</si>
  <si>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</si>
  <si>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</si>
  <si>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</si>
  <si>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</si>
  <si>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</si>
  <si>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</si>
  <si>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</si>
  <si>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</si>
  <si>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</si>
  <si>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</si>
  <si>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</si>
  <si>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</si>
  <si>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</si>
  <si>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</si>
  <si>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</si>
  <si>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</si>
  <si>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</si>
  <si>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</si>
  <si>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</si>
  <si>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</si>
  <si>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</si>
  <si>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</si>
  <si>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</si>
  <si>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</si>
  <si>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</si>
  <si>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</si>
  <si>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</si>
  <si>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</si>
  <si>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</si>
  <si>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</si>
  <si>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</si>
  <si>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</si>
  <si>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</si>
  <si>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</si>
  <si>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</si>
  <si>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</si>
  <si>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</si>
  <si>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</si>
  <si>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</si>
  <si>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</si>
  <si>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</si>
  <si>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</si>
  <si>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</si>
  <si>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</si>
  <si>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</si>
  <si>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</si>
  <si>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</si>
  <si>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</si>
  <si>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</si>
  <si>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</si>
  <si>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</si>
  <si>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</si>
  <si>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</si>
  <si>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</si>
  <si>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</si>
  <si>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</si>
  <si>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</si>
  <si>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02/15/06</t>
  </si>
  <si>
    <t>08/15/24</t>
  </si>
  <si>
    <t>Fall Mountain Regional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</si>
</sst>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38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174</v>
      </c>
      <c r="C2" s="21">
        <v>0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1927453.79+1750</f>
        <v>1929203.79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2382653.2000000002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114497.93</v>
      </c>
      <c r="G12" s="18">
        <v>36744.35</v>
      </c>
      <c r="H12" s="18">
        <v>17395.87</v>
      </c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689932.71</v>
      </c>
      <c r="G13" s="18">
        <v>40851.82</v>
      </c>
      <c r="H13" s="18">
        <v>250555.01</v>
      </c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3418.74</v>
      </c>
      <c r="G14" s="18"/>
      <c r="H14" s="18">
        <v>10318.459999999999</v>
      </c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6888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269887</v>
      </c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3013828.17</v>
      </c>
      <c r="G19" s="41">
        <f>SUM(G9:G18)</f>
        <v>77596.17</v>
      </c>
      <c r="H19" s="41">
        <f>SUM(H9:H18)</f>
        <v>278269.34000000003</v>
      </c>
      <c r="I19" s="41">
        <f>SUM(I9:I18)</f>
        <v>0</v>
      </c>
      <c r="J19" s="41">
        <f>SUM(J9:J18)</f>
        <v>2382653.2000000002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54140.22</v>
      </c>
      <c r="G22" s="18"/>
      <c r="H22" s="18">
        <v>114497.93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85835.21</v>
      </c>
      <c r="G24" s="18">
        <v>45710.67</v>
      </c>
      <c r="H24" s="18">
        <f>252.95+68556.37+5657.98+626.7+136.72+231.33</f>
        <v>75462.049999999988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1988847.08</v>
      </c>
      <c r="G28" s="18">
        <v>31885.5</v>
      </c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89215.64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2218038.1500000004</v>
      </c>
      <c r="G32" s="41">
        <f>SUM(G22:G31)</f>
        <v>77596.17</v>
      </c>
      <c r="H32" s="41">
        <f>SUM(H22:H31)</f>
        <v>189959.97999999998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6888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500000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88309.36</v>
      </c>
      <c r="I48" s="18"/>
      <c r="J48" s="13">
        <f>SUM(I459)</f>
        <v>2382653.2000000002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25696.04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263205.98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795790.02</v>
      </c>
      <c r="G51" s="41">
        <f>SUM(G35:G50)</f>
        <v>0</v>
      </c>
      <c r="H51" s="41">
        <f>SUM(H35:H50)</f>
        <v>88309.36</v>
      </c>
      <c r="I51" s="41">
        <f>SUM(I35:I50)</f>
        <v>0</v>
      </c>
      <c r="J51" s="41">
        <f>SUM(J35:J50)</f>
        <v>2382653.2000000002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3013828.1700000004</v>
      </c>
      <c r="G52" s="41">
        <f>G51+G32</f>
        <v>77596.17</v>
      </c>
      <c r="H52" s="41">
        <f>H51+H32</f>
        <v>278269.33999999997</v>
      </c>
      <c r="I52" s="41">
        <f>I51+I32</f>
        <v>0</v>
      </c>
      <c r="J52" s="41">
        <f>J51+J32</f>
        <v>2382653.2000000002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16037238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16037238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574084.68999999994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19016.650000000001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>
        <f>29917.8+1625.5</f>
        <v>31543.3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593101.34</v>
      </c>
      <c r="G79" s="45" t="s">
        <v>288</v>
      </c>
      <c r="H79" s="41">
        <f>SUM(H63:H78)</f>
        <v>31543.3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f>15460.39+857.64</f>
        <v>16318.029999999999</v>
      </c>
      <c r="G96" s="18"/>
      <c r="H96" s="18"/>
      <c r="I96" s="18"/>
      <c r="J96" s="18">
        <v>44471.26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216530.5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21550.87-5747.58+6996.5</f>
        <v>22799.79</v>
      </c>
      <c r="G110" s="18"/>
      <c r="H110" s="18">
        <v>11300</v>
      </c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39117.82</v>
      </c>
      <c r="G111" s="41">
        <f>SUM(G96:G110)</f>
        <v>216530.5</v>
      </c>
      <c r="H111" s="41">
        <f>SUM(H96:H110)</f>
        <v>11300</v>
      </c>
      <c r="I111" s="41">
        <f>SUM(I96:I110)</f>
        <v>0</v>
      </c>
      <c r="J111" s="41">
        <f>SUM(J96:J110)</f>
        <v>44471.26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16669457.16</v>
      </c>
      <c r="G112" s="41">
        <f>G60+G111</f>
        <v>216530.5</v>
      </c>
      <c r="H112" s="41">
        <f>H60+H79+H94+H111</f>
        <v>42843.3</v>
      </c>
      <c r="I112" s="41">
        <f>I60+I111</f>
        <v>0</v>
      </c>
      <c r="J112" s="41">
        <f>J60+J111</f>
        <v>44471.26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8163840.3300000001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2240229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5747.58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10409816.91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57447.23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128872.94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82448.429999999993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20654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5448.18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>
        <v>1138.5899999999999</v>
      </c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289422.59999999998</v>
      </c>
      <c r="G136" s="41">
        <f>SUM(G123:G135)</f>
        <v>6586.77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10699239.51</v>
      </c>
      <c r="G140" s="41">
        <f>G121+SUM(G136:G137)</f>
        <v>6586.77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478237.56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/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f>57501.89+2500</f>
        <v>60001.89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347888.42+30743.85</f>
        <v>378632.26999999996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416810.62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268021.62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8812</v>
      </c>
      <c r="G161" s="18">
        <v>8344.0400000000009</v>
      </c>
      <c r="H161" s="18">
        <v>92398.69</v>
      </c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276833.62</v>
      </c>
      <c r="G162" s="41">
        <f>SUM(G150:G161)</f>
        <v>386976.30999999994</v>
      </c>
      <c r="H162" s="41">
        <f>SUM(H150:H161)</f>
        <v>1047448.76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276833.62</v>
      </c>
      <c r="G169" s="41">
        <f>G147+G162+SUM(G163:G168)</f>
        <v>386976.30999999994</v>
      </c>
      <c r="H169" s="41">
        <f>H147+H162+SUM(H163:H168)</f>
        <v>1047448.76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223473.36</v>
      </c>
      <c r="H179" s="18"/>
      <c r="I179" s="18"/>
      <c r="J179" s="18">
        <v>267655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223473.36</v>
      </c>
      <c r="H183" s="41">
        <f>SUM(H179:H182)</f>
        <v>0</v>
      </c>
      <c r="I183" s="41">
        <f>SUM(I179:I182)</f>
        <v>0</v>
      </c>
      <c r="J183" s="41">
        <f>SUM(J179:J182)</f>
        <v>267655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286023</v>
      </c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286023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286023</v>
      </c>
      <c r="G192" s="41">
        <f>G183+SUM(G188:G191)</f>
        <v>223473.36</v>
      </c>
      <c r="H192" s="41">
        <f>+H183+SUM(H188:H191)</f>
        <v>0</v>
      </c>
      <c r="I192" s="41">
        <f>I177+I183+SUM(I188:I191)</f>
        <v>0</v>
      </c>
      <c r="J192" s="41">
        <f>J183</f>
        <v>267655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27931553.290000003</v>
      </c>
      <c r="G193" s="47">
        <f>G112+G140+G169+G192</f>
        <v>833566.94</v>
      </c>
      <c r="H193" s="47">
        <f>H112+H140+H169+H192</f>
        <v>1090292.06</v>
      </c>
      <c r="I193" s="47">
        <f>I112+I140+I169+I192</f>
        <v>0</v>
      </c>
      <c r="J193" s="47">
        <f>J112+J140+J192</f>
        <v>312126.26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4738877.05</v>
      </c>
      <c r="G197" s="18">
        <v>2169661.15</v>
      </c>
      <c r="H197" s="18">
        <v>52502.95</v>
      </c>
      <c r="I197" s="18">
        <v>186201.41</v>
      </c>
      <c r="J197" s="18">
        <v>138693.54</v>
      </c>
      <c r="K197" s="18">
        <v>3613.15</v>
      </c>
      <c r="L197" s="19">
        <f>SUM(F197:K197)</f>
        <v>7289549.25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2798982.69+43324</f>
        <v>2842306.69</v>
      </c>
      <c r="G198" s="18">
        <f>913482.82+4960.6</f>
        <v>918443.41999999993</v>
      </c>
      <c r="H198" s="18">
        <v>509308.99</v>
      </c>
      <c r="I198" s="18">
        <v>14760.56</v>
      </c>
      <c r="J198" s="18">
        <v>20124.55</v>
      </c>
      <c r="K198" s="18">
        <v>655.04</v>
      </c>
      <c r="L198" s="19">
        <f>SUM(F198:K198)</f>
        <v>4305599.2499999991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63322</v>
      </c>
      <c r="G200" s="18">
        <v>11592.05</v>
      </c>
      <c r="H200" s="18">
        <v>16643.96</v>
      </c>
      <c r="I200" s="18">
        <v>9265.15</v>
      </c>
      <c r="J200" s="18">
        <v>14629.68</v>
      </c>
      <c r="K200" s="18">
        <v>100</v>
      </c>
      <c r="L200" s="19">
        <f>SUM(F200:K200)</f>
        <v>115552.84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517788.69</v>
      </c>
      <c r="G202" s="18">
        <v>200726.78</v>
      </c>
      <c r="H202" s="18">
        <v>9612.09</v>
      </c>
      <c r="I202" s="18">
        <v>10879.2</v>
      </c>
      <c r="J202" s="18">
        <v>1950.96</v>
      </c>
      <c r="K202" s="18">
        <v>0</v>
      </c>
      <c r="L202" s="19">
        <f t="shared" ref="L202:L208" si="0">SUM(F202:K202)</f>
        <v>740957.71999999986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464464.12</v>
      </c>
      <c r="G203" s="18">
        <v>223934.53</v>
      </c>
      <c r="H203" s="18">
        <v>64446.79</v>
      </c>
      <c r="I203" s="18">
        <v>48226.64</v>
      </c>
      <c r="J203" s="18">
        <v>781.2</v>
      </c>
      <c r="K203" s="18">
        <v>6851.3</v>
      </c>
      <c r="L203" s="19">
        <f t="shared" si="0"/>
        <v>808704.58000000007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155670.37</v>
      </c>
      <c r="G204" s="18">
        <v>56885.7</v>
      </c>
      <c r="H204" s="18">
        <v>105786.94</v>
      </c>
      <c r="I204" s="18">
        <v>6490.09</v>
      </c>
      <c r="J204" s="18">
        <v>5611.1</v>
      </c>
      <c r="K204" s="18">
        <v>5131.1899999999996</v>
      </c>
      <c r="L204" s="19">
        <f t="shared" si="0"/>
        <v>335575.39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742900.29</v>
      </c>
      <c r="G205" s="18">
        <v>303311.55</v>
      </c>
      <c r="H205" s="18">
        <v>13071.63</v>
      </c>
      <c r="I205" s="18">
        <v>11977.74</v>
      </c>
      <c r="J205" s="18">
        <v>16333.44</v>
      </c>
      <c r="K205" s="18">
        <v>5633.19</v>
      </c>
      <c r="L205" s="19">
        <f t="shared" si="0"/>
        <v>1093227.8399999999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134351.88</v>
      </c>
      <c r="G206" s="18">
        <v>45868.51</v>
      </c>
      <c r="H206" s="18">
        <v>14845.01</v>
      </c>
      <c r="I206" s="18">
        <v>9911.34</v>
      </c>
      <c r="J206" s="18">
        <v>2003.22</v>
      </c>
      <c r="K206" s="18">
        <v>379.33</v>
      </c>
      <c r="L206" s="19">
        <f t="shared" si="0"/>
        <v>207359.29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732195.66</v>
      </c>
      <c r="G207" s="18">
        <v>327210.40000000002</v>
      </c>
      <c r="H207" s="18">
        <v>408455.56</v>
      </c>
      <c r="I207" s="18">
        <v>355205.07</v>
      </c>
      <c r="J207" s="18">
        <v>35106.79</v>
      </c>
      <c r="K207" s="18">
        <v>360.65</v>
      </c>
      <c r="L207" s="19">
        <f t="shared" si="0"/>
        <v>1858534.1300000001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376229.14</v>
      </c>
      <c r="G208" s="18">
        <v>73364.97</v>
      </c>
      <c r="H208" s="18">
        <v>236763.74</v>
      </c>
      <c r="I208" s="18">
        <v>70825.320000000007</v>
      </c>
      <c r="J208" s="18">
        <v>1515.89</v>
      </c>
      <c r="K208" s="18">
        <v>0</v>
      </c>
      <c r="L208" s="19">
        <f t="shared" si="0"/>
        <v>758699.05999999994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10768105.890000002</v>
      </c>
      <c r="G211" s="41">
        <f t="shared" si="1"/>
        <v>4330999.0599999987</v>
      </c>
      <c r="H211" s="41">
        <f t="shared" si="1"/>
        <v>1431437.66</v>
      </c>
      <c r="I211" s="41">
        <f t="shared" si="1"/>
        <v>723742.52</v>
      </c>
      <c r="J211" s="41">
        <f t="shared" si="1"/>
        <v>236750.37000000002</v>
      </c>
      <c r="K211" s="41">
        <f t="shared" si="1"/>
        <v>22723.850000000002</v>
      </c>
      <c r="L211" s="41">
        <f t="shared" si="1"/>
        <v>17513759.350000001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2055865.93</v>
      </c>
      <c r="G233" s="18">
        <v>905172.32</v>
      </c>
      <c r="H233" s="18">
        <v>35853.19</v>
      </c>
      <c r="I233" s="18">
        <v>108869.02</v>
      </c>
      <c r="J233" s="18">
        <v>33616.26</v>
      </c>
      <c r="K233" s="18">
        <v>10191.73</v>
      </c>
      <c r="L233" s="19">
        <f>SUM(F233:K233)</f>
        <v>3149568.4499999997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1014429.66</v>
      </c>
      <c r="G234" s="18">
        <v>391908.57</v>
      </c>
      <c r="H234" s="18">
        <v>551198.62</v>
      </c>
      <c r="I234" s="18">
        <v>15513.43</v>
      </c>
      <c r="J234" s="18">
        <v>9829.8799999999992</v>
      </c>
      <c r="K234" s="18">
        <v>5591.9</v>
      </c>
      <c r="L234" s="19">
        <f>SUM(F234:K234)</f>
        <v>1988472.0599999998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110782.06</v>
      </c>
      <c r="G235" s="18">
        <v>52048.68</v>
      </c>
      <c r="H235" s="18">
        <v>158550.39999999999</v>
      </c>
      <c r="I235" s="18">
        <v>25942.81</v>
      </c>
      <c r="J235" s="18">
        <v>3886.03</v>
      </c>
      <c r="K235" s="18">
        <v>200</v>
      </c>
      <c r="L235" s="19">
        <f>SUM(F235:K235)</f>
        <v>351409.98000000004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183143</v>
      </c>
      <c r="G236" s="18">
        <v>46637.56</v>
      </c>
      <c r="H236" s="18">
        <v>58843.46</v>
      </c>
      <c r="I236" s="18">
        <v>16235.33</v>
      </c>
      <c r="J236" s="18">
        <v>20735.580000000002</v>
      </c>
      <c r="K236" s="18">
        <v>5140</v>
      </c>
      <c r="L236" s="19">
        <f>SUM(F236:K236)</f>
        <v>330734.93000000005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344077.25</v>
      </c>
      <c r="G238" s="18">
        <v>167207.06</v>
      </c>
      <c r="H238" s="18">
        <v>78643.34</v>
      </c>
      <c r="I238" s="18">
        <v>4215.3100000000004</v>
      </c>
      <c r="J238" s="18">
        <v>1524</v>
      </c>
      <c r="K238" s="18">
        <v>687</v>
      </c>
      <c r="L238" s="19">
        <f t="shared" ref="L238:L244" si="4">SUM(F238:K238)</f>
        <v>596353.96000000008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239761.54</v>
      </c>
      <c r="G239" s="18">
        <v>100129.51</v>
      </c>
      <c r="H239" s="18">
        <v>47157.75</v>
      </c>
      <c r="I239" s="18">
        <v>19857.03</v>
      </c>
      <c r="J239" s="18">
        <v>2361.1</v>
      </c>
      <c r="K239" s="18">
        <v>3425.65</v>
      </c>
      <c r="L239" s="19">
        <f t="shared" si="4"/>
        <v>412692.57999999996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77835.179999999993</v>
      </c>
      <c r="G240" s="18">
        <v>28442.85</v>
      </c>
      <c r="H240" s="18">
        <v>52893.47</v>
      </c>
      <c r="I240" s="18">
        <v>3245.04</v>
      </c>
      <c r="J240" s="18">
        <v>2805.55</v>
      </c>
      <c r="K240" s="18">
        <v>2565.59</v>
      </c>
      <c r="L240" s="19">
        <f t="shared" si="4"/>
        <v>167787.68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270675.71999999997</v>
      </c>
      <c r="G241" s="18">
        <v>148426.74</v>
      </c>
      <c r="H241" s="18">
        <v>13464.09</v>
      </c>
      <c r="I241" s="18">
        <v>3800.14</v>
      </c>
      <c r="J241" s="18">
        <v>3980.23</v>
      </c>
      <c r="K241" s="18">
        <v>1809</v>
      </c>
      <c r="L241" s="19">
        <f t="shared" si="4"/>
        <v>442155.92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67175.94</v>
      </c>
      <c r="G242" s="18">
        <v>22934.25</v>
      </c>
      <c r="H242" s="18">
        <v>7422.5</v>
      </c>
      <c r="I242" s="18">
        <v>4955.67</v>
      </c>
      <c r="J242" s="18">
        <v>1001.61</v>
      </c>
      <c r="K242" s="18">
        <v>189.67</v>
      </c>
      <c r="L242" s="19">
        <f t="shared" si="4"/>
        <v>103679.64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334182.53000000003</v>
      </c>
      <c r="G243" s="18">
        <v>145620.49</v>
      </c>
      <c r="H243" s="18">
        <v>224511.95</v>
      </c>
      <c r="I243" s="18">
        <v>188747.17</v>
      </c>
      <c r="J243" s="18">
        <v>10909.96</v>
      </c>
      <c r="K243" s="18">
        <v>240.44</v>
      </c>
      <c r="L243" s="19">
        <f t="shared" si="4"/>
        <v>904212.53999999992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223721.9</v>
      </c>
      <c r="G244" s="18">
        <v>45492.44</v>
      </c>
      <c r="H244" s="18">
        <v>158290.06</v>
      </c>
      <c r="I244" s="18">
        <v>45468.35</v>
      </c>
      <c r="J244" s="18">
        <v>1010.6</v>
      </c>
      <c r="K244" s="18">
        <v>0</v>
      </c>
      <c r="L244" s="19">
        <f t="shared" si="4"/>
        <v>473983.34999999992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4921650.7100000009</v>
      </c>
      <c r="G247" s="41">
        <f t="shared" si="5"/>
        <v>2054020.47</v>
      </c>
      <c r="H247" s="41">
        <f t="shared" si="5"/>
        <v>1386828.83</v>
      </c>
      <c r="I247" s="41">
        <f t="shared" si="5"/>
        <v>436849.30000000005</v>
      </c>
      <c r="J247" s="41">
        <f t="shared" si="5"/>
        <v>91660.800000000017</v>
      </c>
      <c r="K247" s="41">
        <f t="shared" si="5"/>
        <v>30040.979999999996</v>
      </c>
      <c r="L247" s="41">
        <f t="shared" si="5"/>
        <v>8921051.089999998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v>364482.89</v>
      </c>
      <c r="I255" s="18"/>
      <c r="J255" s="18"/>
      <c r="K255" s="18"/>
      <c r="L255" s="19">
        <f t="shared" si="6"/>
        <v>364482.89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364482.89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364482.89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15689756.600000003</v>
      </c>
      <c r="G257" s="41">
        <f t="shared" si="8"/>
        <v>6385019.5299999984</v>
      </c>
      <c r="H257" s="41">
        <f t="shared" si="8"/>
        <v>3182749.3800000004</v>
      </c>
      <c r="I257" s="41">
        <f t="shared" si="8"/>
        <v>1160591.82</v>
      </c>
      <c r="J257" s="41">
        <f t="shared" si="8"/>
        <v>328411.17000000004</v>
      </c>
      <c r="K257" s="41">
        <f t="shared" si="8"/>
        <v>52764.83</v>
      </c>
      <c r="L257" s="41">
        <f t="shared" si="8"/>
        <v>26799293.329999998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100000</v>
      </c>
      <c r="L260" s="19">
        <f>SUM(F260:K260)</f>
        <v>100000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32265</v>
      </c>
      <c r="L261" s="19">
        <f>SUM(F261:K261)</f>
        <v>32265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223473.36</v>
      </c>
      <c r="L263" s="19">
        <f>SUM(F263:K263)</f>
        <v>223473.36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267655</v>
      </c>
      <c r="L266" s="19">
        <f t="shared" si="9"/>
        <v>267655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623393.36</v>
      </c>
      <c r="L270" s="41">
        <f t="shared" si="9"/>
        <v>623393.36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15689756.600000003</v>
      </c>
      <c r="G271" s="42">
        <f t="shared" si="11"/>
        <v>6385019.5299999984</v>
      </c>
      <c r="H271" s="42">
        <f t="shared" si="11"/>
        <v>3182749.3800000004</v>
      </c>
      <c r="I271" s="42">
        <f t="shared" si="11"/>
        <v>1160591.82</v>
      </c>
      <c r="J271" s="42">
        <f t="shared" si="11"/>
        <v>328411.17000000004</v>
      </c>
      <c r="K271" s="42">
        <f t="shared" si="11"/>
        <v>676158.19</v>
      </c>
      <c r="L271" s="42">
        <f t="shared" si="11"/>
        <v>27422686.689999998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225642</v>
      </c>
      <c r="G276" s="18">
        <v>84710.91</v>
      </c>
      <c r="H276" s="18">
        <f>2800+3500+150</f>
        <v>6450</v>
      </c>
      <c r="I276" s="18">
        <f>38758.56+20+926.95</f>
        <v>39705.509999999995</v>
      </c>
      <c r="J276" s="18"/>
      <c r="K276" s="18">
        <v>4961.3500000000004</v>
      </c>
      <c r="L276" s="19">
        <f>SUM(F276:K276)</f>
        <v>361469.77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183989.98+4300</f>
        <v>188289.98</v>
      </c>
      <c r="G277" s="18">
        <v>59615.74</v>
      </c>
      <c r="H277" s="18">
        <v>88782.38</v>
      </c>
      <c r="I277" s="18">
        <v>9675.18</v>
      </c>
      <c r="J277" s="18">
        <v>1441.06</v>
      </c>
      <c r="K277" s="18">
        <v>3597.05</v>
      </c>
      <c r="L277" s="19">
        <f>SUM(F277:K277)</f>
        <v>351401.38999999996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f>22624.06+2236.22</f>
        <v>24860.280000000002</v>
      </c>
      <c r="G279" s="18">
        <f>4131.38+537.14</f>
        <v>4668.5200000000004</v>
      </c>
      <c r="H279" s="18">
        <v>1324.36</v>
      </c>
      <c r="I279" s="18">
        <v>2216.73</v>
      </c>
      <c r="J279" s="18"/>
      <c r="K279" s="18">
        <v>427.13</v>
      </c>
      <c r="L279" s="19">
        <f>SUM(F279:K279)</f>
        <v>33497.020000000004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2668.11</f>
        <v>2668.11</v>
      </c>
      <c r="G281" s="18">
        <v>633.09</v>
      </c>
      <c r="H281" s="18">
        <v>27307.439999999999</v>
      </c>
      <c r="I281" s="18">
        <v>157</v>
      </c>
      <c r="J281" s="18">
        <v>5693.98</v>
      </c>
      <c r="K281" s="18">
        <v>514.02</v>
      </c>
      <c r="L281" s="19">
        <f t="shared" ref="L281:L287" si="12">SUM(F281:K281)</f>
        <v>36973.639999999992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36684.35+15203.49+800</f>
        <v>52687.839999999997</v>
      </c>
      <c r="G282" s="18">
        <f>11446.36+3475.1+191.12</f>
        <v>15112.580000000002</v>
      </c>
      <c r="H282" s="18">
        <f>213.6+29049.9+1350+8645.99</f>
        <v>39259.49</v>
      </c>
      <c r="I282" s="18">
        <f>228.63+551.49+710.33</f>
        <v>1490.45</v>
      </c>
      <c r="J282" s="18">
        <v>3180.6</v>
      </c>
      <c r="K282" s="18">
        <f>684.8+665.36+115.29+153.74</f>
        <v>1619.1899999999998</v>
      </c>
      <c r="L282" s="19">
        <f t="shared" si="12"/>
        <v>113350.15000000001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>
        <v>2415.66</v>
      </c>
      <c r="I283" s="18"/>
      <c r="J283" s="18"/>
      <c r="K283" s="18"/>
      <c r="L283" s="19">
        <f t="shared" si="12"/>
        <v>2415.66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4409.7</v>
      </c>
      <c r="I287" s="18"/>
      <c r="J287" s="18"/>
      <c r="K287" s="18"/>
      <c r="L287" s="19">
        <f t="shared" si="12"/>
        <v>4409.7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494148.20999999996</v>
      </c>
      <c r="G290" s="42">
        <f t="shared" si="13"/>
        <v>164740.83999999997</v>
      </c>
      <c r="H290" s="42">
        <f t="shared" si="13"/>
        <v>169949.03000000003</v>
      </c>
      <c r="I290" s="42">
        <f t="shared" si="13"/>
        <v>53244.869999999995</v>
      </c>
      <c r="J290" s="42">
        <f t="shared" si="13"/>
        <v>10315.64</v>
      </c>
      <c r="K290" s="42">
        <f t="shared" si="13"/>
        <v>11118.740000000002</v>
      </c>
      <c r="L290" s="41">
        <f t="shared" si="13"/>
        <v>903517.33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>
        <v>468.86</v>
      </c>
      <c r="J314" s="18"/>
      <c r="K314" s="18"/>
      <c r="L314" s="19">
        <f>SUM(F314:K314)</f>
        <v>468.86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19176.580000000002</v>
      </c>
      <c r="G315" s="18">
        <v>5917.54</v>
      </c>
      <c r="H315" s="18">
        <v>36368.35</v>
      </c>
      <c r="I315" s="18">
        <v>2246.6799999999998</v>
      </c>
      <c r="J315" s="18">
        <v>4248.1400000000003</v>
      </c>
      <c r="K315" s="18">
        <v>1751.94</v>
      </c>
      <c r="L315" s="19">
        <f>SUM(F315:K315)</f>
        <v>69709.23000000001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960</v>
      </c>
      <c r="G316" s="18">
        <v>230.15</v>
      </c>
      <c r="H316" s="18">
        <v>14123.74</v>
      </c>
      <c r="I316" s="18">
        <v>4343.53</v>
      </c>
      <c r="J316" s="18">
        <v>36801.72</v>
      </c>
      <c r="K316" s="18">
        <f>1502.51+2040.24</f>
        <v>3542.75</v>
      </c>
      <c r="L316" s="19">
        <f>SUM(F316:K316)</f>
        <v>60001.89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7689.95</v>
      </c>
      <c r="G320" s="18">
        <v>1757.71</v>
      </c>
      <c r="H320" s="18">
        <v>14693.49</v>
      </c>
      <c r="I320" s="18">
        <v>278.95</v>
      </c>
      <c r="J320" s="18"/>
      <c r="K320" s="18">
        <v>336.54</v>
      </c>
      <c r="L320" s="19">
        <f t="shared" si="16"/>
        <v>24756.640000000003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>
        <v>1221.8399999999999</v>
      </c>
      <c r="I321" s="18"/>
      <c r="J321" s="18"/>
      <c r="K321" s="18"/>
      <c r="L321" s="19">
        <f t="shared" si="16"/>
        <v>1221.8399999999999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27826.530000000002</v>
      </c>
      <c r="G328" s="42">
        <f t="shared" si="17"/>
        <v>7905.4</v>
      </c>
      <c r="H328" s="42">
        <f t="shared" si="17"/>
        <v>66407.42</v>
      </c>
      <c r="I328" s="42">
        <f t="shared" si="17"/>
        <v>7338.0199999999995</v>
      </c>
      <c r="J328" s="42">
        <f t="shared" si="17"/>
        <v>41049.86</v>
      </c>
      <c r="K328" s="42">
        <f t="shared" si="17"/>
        <v>5631.2300000000005</v>
      </c>
      <c r="L328" s="41">
        <f t="shared" si="17"/>
        <v>156158.46000000002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521974.74</v>
      </c>
      <c r="G338" s="41">
        <f t="shared" si="20"/>
        <v>172646.23999999996</v>
      </c>
      <c r="H338" s="41">
        <f t="shared" si="20"/>
        <v>236356.45</v>
      </c>
      <c r="I338" s="41">
        <f t="shared" si="20"/>
        <v>60582.889999999992</v>
      </c>
      <c r="J338" s="41">
        <f t="shared" si="20"/>
        <v>51365.5</v>
      </c>
      <c r="K338" s="41">
        <f t="shared" si="20"/>
        <v>16749.97</v>
      </c>
      <c r="L338" s="41">
        <f t="shared" si="20"/>
        <v>1059675.79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521974.74</v>
      </c>
      <c r="G352" s="41">
        <f>G338</f>
        <v>172646.23999999996</v>
      </c>
      <c r="H352" s="41">
        <f>H338</f>
        <v>236356.45</v>
      </c>
      <c r="I352" s="41">
        <f>I338</f>
        <v>60582.889999999992</v>
      </c>
      <c r="J352" s="41">
        <f>J338</f>
        <v>51365.5</v>
      </c>
      <c r="K352" s="47">
        <f>K338+K351</f>
        <v>16749.97</v>
      </c>
      <c r="L352" s="41">
        <f>L338+L351</f>
        <v>1059675.79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252236.36</v>
      </c>
      <c r="G358" s="18">
        <v>63512.31</v>
      </c>
      <c r="H358" s="18">
        <v>84396.58</v>
      </c>
      <c r="I358" s="18">
        <v>253620.73</v>
      </c>
      <c r="J358" s="18">
        <v>7870.2</v>
      </c>
      <c r="K358" s="18"/>
      <c r="L358" s="13">
        <f>SUM(F358:K358)</f>
        <v>661636.17999999993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86376.95</v>
      </c>
      <c r="G360" s="18">
        <v>32955.11</v>
      </c>
      <c r="H360" s="18">
        <v>20584.169999999998</v>
      </c>
      <c r="I360" s="18">
        <f>50527.53+200</f>
        <v>50727.53</v>
      </c>
      <c r="J360" s="18">
        <v>0</v>
      </c>
      <c r="K360" s="18"/>
      <c r="L360" s="19">
        <f>SUM(F360:K360)</f>
        <v>190643.75999999998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338613.31</v>
      </c>
      <c r="G362" s="47">
        <f t="shared" si="22"/>
        <v>96467.42</v>
      </c>
      <c r="H362" s="47">
        <f t="shared" si="22"/>
        <v>104980.75</v>
      </c>
      <c r="I362" s="47">
        <f t="shared" si="22"/>
        <v>304348.26</v>
      </c>
      <c r="J362" s="47">
        <f t="shared" si="22"/>
        <v>7870.2</v>
      </c>
      <c r="K362" s="47">
        <f t="shared" si="22"/>
        <v>0</v>
      </c>
      <c r="L362" s="47">
        <f t="shared" si="22"/>
        <v>852279.94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229755.82</v>
      </c>
      <c r="G367" s="18"/>
      <c r="H367" s="18">
        <f>42383.72+200</f>
        <v>42583.72</v>
      </c>
      <c r="I367" s="56">
        <f>SUM(F367:H367)</f>
        <v>272339.54000000004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253620.73-F367</f>
        <v>23864.910000000003</v>
      </c>
      <c r="G368" s="63"/>
      <c r="H368" s="63">
        <v>8143.81</v>
      </c>
      <c r="I368" s="56">
        <f>SUM(F368:H368)</f>
        <v>32008.720000000005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253620.73</v>
      </c>
      <c r="G369" s="47">
        <f>SUM(G367:G368)</f>
        <v>0</v>
      </c>
      <c r="H369" s="47">
        <f>SUM(H367:H368)</f>
        <v>50727.53</v>
      </c>
      <c r="I369" s="47">
        <f>SUM(I367:I368)</f>
        <v>304348.26000000007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>
        <v>267655</v>
      </c>
      <c r="H389" s="18">
        <v>26071.14</v>
      </c>
      <c r="I389" s="18"/>
      <c r="J389" s="24" t="s">
        <v>288</v>
      </c>
      <c r="K389" s="24" t="s">
        <v>288</v>
      </c>
      <c r="L389" s="56">
        <f t="shared" si="25"/>
        <v>293726.14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267655</v>
      </c>
      <c r="H393" s="139">
        <f>SUM(H387:H392)</f>
        <v>26071.14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293726.14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4427.1000000000004</v>
      </c>
      <c r="I397" s="18"/>
      <c r="J397" s="24" t="s">
        <v>288</v>
      </c>
      <c r="K397" s="24" t="s">
        <v>288</v>
      </c>
      <c r="L397" s="56">
        <f t="shared" si="26"/>
        <v>4427.1000000000004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>
        <v>13973.02</v>
      </c>
      <c r="I400" s="18"/>
      <c r="J400" s="24" t="s">
        <v>288</v>
      </c>
      <c r="K400" s="24" t="s">
        <v>288</v>
      </c>
      <c r="L400" s="56">
        <f t="shared" si="26"/>
        <v>13973.02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18400.120000000003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18400.120000000003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267655</v>
      </c>
      <c r="H408" s="47">
        <f>H393+H401+H407</f>
        <v>44471.26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312126.26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>
        <v>286023</v>
      </c>
      <c r="L415" s="56">
        <f t="shared" si="27"/>
        <v>286023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286023</v>
      </c>
      <c r="L419" s="47">
        <f t="shared" si="28"/>
        <v>286023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286023</v>
      </c>
      <c r="L434" s="47">
        <f t="shared" si="32"/>
        <v>286023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960099.12</v>
      </c>
      <c r="G440" s="18">
        <v>1422554.08</v>
      </c>
      <c r="H440" s="18"/>
      <c r="I440" s="56">
        <f t="shared" si="33"/>
        <v>2382653.2000000002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960099.12</v>
      </c>
      <c r="G446" s="13">
        <f>SUM(G439:G445)</f>
        <v>1422554.08</v>
      </c>
      <c r="H446" s="13">
        <f>SUM(H439:H445)</f>
        <v>0</v>
      </c>
      <c r="I446" s="13">
        <f>SUM(I439:I445)</f>
        <v>2382653.2000000002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960099.12</v>
      </c>
      <c r="G459" s="18">
        <v>1422554.08</v>
      </c>
      <c r="H459" s="18"/>
      <c r="I459" s="56">
        <f t="shared" si="34"/>
        <v>2382653.2000000002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960099.12</v>
      </c>
      <c r="G460" s="83">
        <f>SUM(G454:G459)</f>
        <v>1422554.08</v>
      </c>
      <c r="H460" s="83">
        <f>SUM(H454:H459)</f>
        <v>0</v>
      </c>
      <c r="I460" s="83">
        <f>SUM(I454:I459)</f>
        <v>2382653.2000000002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960099.12</v>
      </c>
      <c r="G461" s="42">
        <f>G452+G460</f>
        <v>1422554.08</v>
      </c>
      <c r="H461" s="42">
        <f>H452+H460</f>
        <v>0</v>
      </c>
      <c r="I461" s="42">
        <f>I452+I460</f>
        <v>2382653.2000000002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286923.42</v>
      </c>
      <c r="G465" s="18">
        <v>18713</v>
      </c>
      <c r="H465" s="18">
        <v>57693.09</v>
      </c>
      <c r="I465" s="18"/>
      <c r="J465" s="18">
        <v>2356549.94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27931553.290000003</v>
      </c>
      <c r="G468" s="18">
        <f>G193</f>
        <v>833566.94</v>
      </c>
      <c r="H468" s="18">
        <f>H193</f>
        <v>1090292.06</v>
      </c>
      <c r="I468" s="18"/>
      <c r="J468" s="18">
        <f>J193</f>
        <v>312126.26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27931553.290000003</v>
      </c>
      <c r="G470" s="53">
        <f>SUM(G468:G469)</f>
        <v>833566.94</v>
      </c>
      <c r="H470" s="53">
        <f>SUM(H468:H469)</f>
        <v>1090292.06</v>
      </c>
      <c r="I470" s="53">
        <f>SUM(I468:I469)</f>
        <v>0</v>
      </c>
      <c r="J470" s="53">
        <f>SUM(J468:J469)</f>
        <v>312126.26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27422686.689999998</v>
      </c>
      <c r="G472" s="18">
        <f>L362</f>
        <v>852279.94</v>
      </c>
      <c r="H472" s="18">
        <f>L352</f>
        <v>1059675.79</v>
      </c>
      <c r="I472" s="18"/>
      <c r="J472" s="18">
        <v>286023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27422686.689999998</v>
      </c>
      <c r="G474" s="53">
        <f>SUM(G472:G473)</f>
        <v>852279.94</v>
      </c>
      <c r="H474" s="53">
        <f>SUM(H472:H473)</f>
        <v>1059675.79</v>
      </c>
      <c r="I474" s="53">
        <f>SUM(I472:I473)</f>
        <v>0</v>
      </c>
      <c r="J474" s="53">
        <f>SUM(J472:J473)</f>
        <v>286023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795790.020000007</v>
      </c>
      <c r="G476" s="53">
        <f>(G465+G470)- G474</f>
        <v>0</v>
      </c>
      <c r="H476" s="53">
        <f>(H465+H470)- H474</f>
        <v>88309.360000000102</v>
      </c>
      <c r="I476" s="53">
        <f>(I465+I470)- I474</f>
        <v>0</v>
      </c>
      <c r="J476" s="53">
        <f>(J465+J470)- J474</f>
        <v>2382653.2000000002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2000000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3.99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900000</v>
      </c>
      <c r="G495" s="18"/>
      <c r="H495" s="18"/>
      <c r="I495" s="18"/>
      <c r="J495" s="18"/>
      <c r="K495" s="53">
        <f>SUM(F495:J495)</f>
        <v>900000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100000</v>
      </c>
      <c r="G497" s="18"/>
      <c r="H497" s="18"/>
      <c r="I497" s="18"/>
      <c r="J497" s="18"/>
      <c r="K497" s="53">
        <f t="shared" si="35"/>
        <v>100000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800000</v>
      </c>
      <c r="G498" s="204"/>
      <c r="H498" s="204"/>
      <c r="I498" s="204"/>
      <c r="J498" s="204"/>
      <c r="K498" s="205">
        <f t="shared" si="35"/>
        <v>800000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134540</v>
      </c>
      <c r="G499" s="18"/>
      <c r="H499" s="18"/>
      <c r="I499" s="18"/>
      <c r="J499" s="18"/>
      <c r="K499" s="53">
        <f t="shared" si="35"/>
        <v>134540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934540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934540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100000</v>
      </c>
      <c r="G501" s="204"/>
      <c r="H501" s="204"/>
      <c r="I501" s="204"/>
      <c r="J501" s="204"/>
      <c r="K501" s="205">
        <f t="shared" si="35"/>
        <v>100000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f>16402.5+14862.5</f>
        <v>31265</v>
      </c>
      <c r="G502" s="18"/>
      <c r="H502" s="18"/>
      <c r="I502" s="18"/>
      <c r="J502" s="18"/>
      <c r="K502" s="53">
        <f t="shared" si="35"/>
        <v>31265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131265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131265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2408525.4300000002</v>
      </c>
      <c r="G521" s="18">
        <v>767455.26</v>
      </c>
      <c r="H521" s="18">
        <v>508377.66</v>
      </c>
      <c r="I521" s="18">
        <f>18326.8-987.63</f>
        <v>17339.169999999998</v>
      </c>
      <c r="J521" s="18">
        <v>4960.09</v>
      </c>
      <c r="K521" s="18"/>
      <c r="L521" s="88">
        <f>SUM(F521:K521)</f>
        <v>3706657.6100000003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777212.43</v>
      </c>
      <c r="G523" s="18">
        <v>297950.92</v>
      </c>
      <c r="H523" s="18">
        <v>499431.93</v>
      </c>
      <c r="I523" s="18">
        <v>10656.07</v>
      </c>
      <c r="J523" s="18">
        <v>1653</v>
      </c>
      <c r="K523" s="18">
        <v>1647.17</v>
      </c>
      <c r="L523" s="88">
        <f>SUM(F523:K523)</f>
        <v>1588551.52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3185737.8600000003</v>
      </c>
      <c r="G524" s="108">
        <f t="shared" ref="G524:L524" si="36">SUM(G521:G523)</f>
        <v>1065406.18</v>
      </c>
      <c r="H524" s="108">
        <f t="shared" si="36"/>
        <v>1007809.59</v>
      </c>
      <c r="I524" s="108">
        <f t="shared" si="36"/>
        <v>27995.239999999998</v>
      </c>
      <c r="J524" s="108">
        <f t="shared" si="36"/>
        <v>6613.09</v>
      </c>
      <c r="K524" s="108">
        <f t="shared" si="36"/>
        <v>1647.17</v>
      </c>
      <c r="L524" s="89">
        <f t="shared" si="36"/>
        <v>5295209.1300000008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502989.02+45134.57</f>
        <v>548123.59</v>
      </c>
      <c r="G526" s="18">
        <v>185568.72</v>
      </c>
      <c r="H526" s="18">
        <v>59809.14</v>
      </c>
      <c r="I526" s="18">
        <v>6108.94</v>
      </c>
      <c r="J526" s="18">
        <v>15856.93</v>
      </c>
      <c r="K526" s="18">
        <v>2551.25</v>
      </c>
      <c r="L526" s="88">
        <f>SUM(F526:K526)</f>
        <v>818018.57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219419.96</v>
      </c>
      <c r="G528" s="18">
        <v>87357.59</v>
      </c>
      <c r="H528" s="18">
        <v>58756.7</v>
      </c>
      <c r="I528" s="18">
        <v>5328.03</v>
      </c>
      <c r="J528" s="18">
        <v>11877.76</v>
      </c>
      <c r="K528" s="18">
        <v>2310.87</v>
      </c>
      <c r="L528" s="88">
        <f>SUM(F528:K528)</f>
        <v>385050.91000000003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767543.54999999993</v>
      </c>
      <c r="G529" s="89">
        <f t="shared" ref="G529:L529" si="37">SUM(G526:G528)</f>
        <v>272926.31</v>
      </c>
      <c r="H529" s="89">
        <f t="shared" si="37"/>
        <v>118565.84</v>
      </c>
      <c r="I529" s="89">
        <f t="shared" si="37"/>
        <v>11436.97</v>
      </c>
      <c r="J529" s="89">
        <f t="shared" si="37"/>
        <v>27734.690000000002</v>
      </c>
      <c r="K529" s="89">
        <f t="shared" si="37"/>
        <v>4862.12</v>
      </c>
      <c r="L529" s="89">
        <f t="shared" si="37"/>
        <v>1203069.48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73947.649999999994</v>
      </c>
      <c r="G531" s="18">
        <v>25035.18</v>
      </c>
      <c r="H531" s="18">
        <f>29904.57-1705.06</f>
        <v>28199.51</v>
      </c>
      <c r="I531" s="18">
        <v>987.63</v>
      </c>
      <c r="J531" s="18">
        <v>748.59</v>
      </c>
      <c r="K531" s="18">
        <v>1700.84</v>
      </c>
      <c r="L531" s="88">
        <f>SUM(F531:K531)</f>
        <v>130619.39999999998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36973.85</v>
      </c>
      <c r="G533" s="18">
        <v>12517.6</v>
      </c>
      <c r="H533" s="18">
        <f>29378.34-852.53</f>
        <v>28525.81</v>
      </c>
      <c r="I533" s="18">
        <v>1776.01</v>
      </c>
      <c r="J533" s="18">
        <v>547.26</v>
      </c>
      <c r="K533" s="18">
        <v>3385.8</v>
      </c>
      <c r="L533" s="88">
        <f>SUM(F533:K533)</f>
        <v>83726.329999999987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110921.5</v>
      </c>
      <c r="G534" s="89">
        <f t="shared" ref="G534:L534" si="38">SUM(G531:G533)</f>
        <v>37552.78</v>
      </c>
      <c r="H534" s="89">
        <f t="shared" si="38"/>
        <v>56725.32</v>
      </c>
      <c r="I534" s="89">
        <f t="shared" si="38"/>
        <v>2763.64</v>
      </c>
      <c r="J534" s="89">
        <f t="shared" si="38"/>
        <v>1295.8499999999999</v>
      </c>
      <c r="K534" s="89">
        <f t="shared" si="38"/>
        <v>5086.6400000000003</v>
      </c>
      <c r="L534" s="89">
        <f t="shared" si="38"/>
        <v>214345.72999999998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1705.06</v>
      </c>
      <c r="I536" s="18"/>
      <c r="J536" s="18"/>
      <c r="K536" s="18"/>
      <c r="L536" s="88">
        <f>SUM(F536:K536)</f>
        <v>1705.06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852.53</v>
      </c>
      <c r="I538" s="18"/>
      <c r="J538" s="18"/>
      <c r="K538" s="18"/>
      <c r="L538" s="88">
        <f>SUM(F538:K538)</f>
        <v>852.53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2557.59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2557.59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73946.7</v>
      </c>
      <c r="G541" s="18">
        <v>14419.66</v>
      </c>
      <c r="H541" s="18">
        <f>46535.2+4409.7</f>
        <v>50944.899999999994</v>
      </c>
      <c r="I541" s="18">
        <v>13920.5</v>
      </c>
      <c r="J541" s="18">
        <v>297.94</v>
      </c>
      <c r="K541" s="18">
        <v>0</v>
      </c>
      <c r="L541" s="88">
        <f>SUM(F541:K541)</f>
        <v>153529.70000000001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18705.16</v>
      </c>
      <c r="G543" s="18">
        <v>3803.58</v>
      </c>
      <c r="H543" s="18">
        <v>13234.47</v>
      </c>
      <c r="I543" s="18">
        <v>3801.56</v>
      </c>
      <c r="J543" s="18">
        <v>84.49</v>
      </c>
      <c r="K543" s="18">
        <v>0</v>
      </c>
      <c r="L543" s="88">
        <f>SUM(F543:K543)</f>
        <v>39629.259999999995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92651.86</v>
      </c>
      <c r="G544" s="193">
        <f t="shared" ref="G544:L544" si="40">SUM(G541:G543)</f>
        <v>18223.239999999998</v>
      </c>
      <c r="H544" s="193">
        <f t="shared" si="40"/>
        <v>64179.369999999995</v>
      </c>
      <c r="I544" s="193">
        <f t="shared" si="40"/>
        <v>17722.060000000001</v>
      </c>
      <c r="J544" s="193">
        <f t="shared" si="40"/>
        <v>382.43</v>
      </c>
      <c r="K544" s="193">
        <f t="shared" si="40"/>
        <v>0</v>
      </c>
      <c r="L544" s="193">
        <f t="shared" si="40"/>
        <v>193158.96000000002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4156854.77</v>
      </c>
      <c r="G545" s="89">
        <f t="shared" ref="G545:L545" si="41">G524+G529+G534+G539+G544</f>
        <v>1394108.51</v>
      </c>
      <c r="H545" s="89">
        <f t="shared" si="41"/>
        <v>1249837.71</v>
      </c>
      <c r="I545" s="89">
        <f t="shared" si="41"/>
        <v>59917.91</v>
      </c>
      <c r="J545" s="89">
        <f t="shared" si="41"/>
        <v>36026.06</v>
      </c>
      <c r="K545" s="89">
        <f t="shared" si="41"/>
        <v>11595.93</v>
      </c>
      <c r="L545" s="89">
        <f t="shared" si="41"/>
        <v>6908340.8900000015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3706657.6100000003</v>
      </c>
      <c r="G549" s="87">
        <f>L526</f>
        <v>818018.57</v>
      </c>
      <c r="H549" s="87">
        <f>L531</f>
        <v>130619.39999999998</v>
      </c>
      <c r="I549" s="87">
        <f>L536</f>
        <v>1705.06</v>
      </c>
      <c r="J549" s="87">
        <f>L541</f>
        <v>153529.70000000001</v>
      </c>
      <c r="K549" s="87">
        <f>SUM(F549:J549)</f>
        <v>4810530.3400000008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1588551.52</v>
      </c>
      <c r="G551" s="87">
        <f>L528</f>
        <v>385050.91000000003</v>
      </c>
      <c r="H551" s="87">
        <f>L533</f>
        <v>83726.329999999987</v>
      </c>
      <c r="I551" s="87">
        <f>L538</f>
        <v>852.53</v>
      </c>
      <c r="J551" s="87">
        <f>L543</f>
        <v>39629.259999999995</v>
      </c>
      <c r="K551" s="87">
        <f>SUM(F551:J551)</f>
        <v>2097810.5500000003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5295209.1300000008</v>
      </c>
      <c r="G552" s="89">
        <f t="shared" si="42"/>
        <v>1203069.48</v>
      </c>
      <c r="H552" s="89">
        <f t="shared" si="42"/>
        <v>214345.72999999998</v>
      </c>
      <c r="I552" s="89">
        <f t="shared" si="42"/>
        <v>2557.59</v>
      </c>
      <c r="J552" s="89">
        <f t="shared" si="42"/>
        <v>193158.96000000002</v>
      </c>
      <c r="K552" s="89">
        <f t="shared" si="42"/>
        <v>6908340.8900000006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113930.25</v>
      </c>
      <c r="G579" s="18"/>
      <c r="H579" s="18">
        <v>19248.419999999998</v>
      </c>
      <c r="I579" s="87">
        <f t="shared" si="47"/>
        <v>133178.66999999998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277582.64</v>
      </c>
      <c r="G582" s="18"/>
      <c r="H582" s="18">
        <v>474299.67</v>
      </c>
      <c r="I582" s="87">
        <f t="shared" si="47"/>
        <v>751882.31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149303</v>
      </c>
      <c r="I585" s="87">
        <f t="shared" si="47"/>
        <v>149303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577527.16</v>
      </c>
      <c r="I591" s="18"/>
      <c r="J591" s="18">
        <v>349363.02</v>
      </c>
      <c r="K591" s="104">
        <f t="shared" ref="K591:K597" si="48">SUM(H591:J591)</f>
        <v>926890.18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149120</v>
      </c>
      <c r="I592" s="18"/>
      <c r="J592" s="18">
        <v>39629.26</v>
      </c>
      <c r="K592" s="104">
        <f t="shared" si="48"/>
        <v>188749.26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50155.45</v>
      </c>
      <c r="K593" s="104">
        <f t="shared" si="48"/>
        <v>50155.45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>
        <v>18641.91</v>
      </c>
      <c r="I594" s="18"/>
      <c r="J594" s="18">
        <v>34835.019999999997</v>
      </c>
      <c r="K594" s="104">
        <f t="shared" si="48"/>
        <v>53476.929999999993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13410.59</v>
      </c>
      <c r="I595" s="18"/>
      <c r="J595" s="18"/>
      <c r="K595" s="104">
        <f t="shared" si="48"/>
        <v>13410.59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758699.66</v>
      </c>
      <c r="I598" s="108">
        <f>SUM(I591:I597)</f>
        <v>0</v>
      </c>
      <c r="J598" s="108">
        <f>SUM(J591:J597)</f>
        <v>473982.75000000006</v>
      </c>
      <c r="K598" s="108">
        <f>SUM(K591:K597)</f>
        <v>1232682.4099999999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328411.17</v>
      </c>
      <c r="I604" s="18"/>
      <c r="J604" s="18">
        <v>51365.5</v>
      </c>
      <c r="K604" s="104">
        <f>SUM(H604:J604)</f>
        <v>379776.67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328411.17</v>
      </c>
      <c r="I605" s="108">
        <f>SUM(I602:I604)</f>
        <v>0</v>
      </c>
      <c r="J605" s="108">
        <f>SUM(J602:J604)</f>
        <v>51365.5</v>
      </c>
      <c r="K605" s="108">
        <f>SUM(K602:K604)</f>
        <v>379776.67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75572.27</v>
      </c>
      <c r="G611" s="18">
        <v>17471.66</v>
      </c>
      <c r="H611" s="18">
        <v>15701.97</v>
      </c>
      <c r="I611" s="18">
        <v>3524.2</v>
      </c>
      <c r="J611" s="18">
        <v>0</v>
      </c>
      <c r="K611" s="18">
        <v>0</v>
      </c>
      <c r="L611" s="88">
        <f>SUM(F611:K611)</f>
        <v>112270.1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75572.27</v>
      </c>
      <c r="G614" s="108">
        <f t="shared" si="49"/>
        <v>17471.66</v>
      </c>
      <c r="H614" s="108">
        <f t="shared" si="49"/>
        <v>15701.97</v>
      </c>
      <c r="I614" s="108">
        <f t="shared" si="49"/>
        <v>3524.2</v>
      </c>
      <c r="J614" s="108">
        <f t="shared" si="49"/>
        <v>0</v>
      </c>
      <c r="K614" s="108">
        <f t="shared" si="49"/>
        <v>0</v>
      </c>
      <c r="L614" s="89">
        <f t="shared" si="49"/>
        <v>112270.1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3013828.17</v>
      </c>
      <c r="H617" s="109">
        <f>SUM(F52)</f>
        <v>3013828.1700000004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77596.17</v>
      </c>
      <c r="H618" s="109">
        <f>SUM(G52)</f>
        <v>77596.17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278269.34000000003</v>
      </c>
      <c r="H619" s="109">
        <f>SUM(H52)</f>
        <v>278269.33999999997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2382653.2000000002</v>
      </c>
      <c r="H621" s="109">
        <f>SUM(J52)</f>
        <v>2382653.2000000002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795790.02</v>
      </c>
      <c r="H622" s="109">
        <f>F476</f>
        <v>795790.020000007</v>
      </c>
      <c r="I622" s="121" t="s">
        <v>101</v>
      </c>
      <c r="J622" s="109">
        <f t="shared" ref="J622:J655" si="50">G622-H622</f>
        <v>-6.9849193096160889E-9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88309.36</v>
      </c>
      <c r="H624" s="109">
        <f>H476</f>
        <v>88309.360000000102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2382653.2000000002</v>
      </c>
      <c r="H626" s="109">
        <f>J476</f>
        <v>2382653.2000000002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27931553.290000003</v>
      </c>
      <c r="H627" s="104">
        <f>SUM(F468)</f>
        <v>27931553.290000003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833566.94</v>
      </c>
      <c r="H628" s="104">
        <f>SUM(G468)</f>
        <v>833566.94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1090292.06</v>
      </c>
      <c r="H629" s="104">
        <f>SUM(H468)</f>
        <v>1090292.06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312126.26</v>
      </c>
      <c r="H631" s="104">
        <f>SUM(J468)</f>
        <v>312126.26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27422686.689999998</v>
      </c>
      <c r="H632" s="104">
        <f>SUM(F472)</f>
        <v>27422686.689999998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1059675.79</v>
      </c>
      <c r="H633" s="104">
        <f>SUM(H472)</f>
        <v>1059675.79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304348.26</v>
      </c>
      <c r="H634" s="104">
        <f>I369</f>
        <v>304348.26000000007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852279.94</v>
      </c>
      <c r="H635" s="104">
        <f>SUM(G472)</f>
        <v>852279.94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312126.26</v>
      </c>
      <c r="H637" s="164">
        <f>SUM(J468)</f>
        <v>312126.26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286023</v>
      </c>
      <c r="H638" s="164">
        <f>SUM(J472)</f>
        <v>286023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960099.12</v>
      </c>
      <c r="H639" s="104">
        <f>SUM(F461)</f>
        <v>960099.12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1422554.08</v>
      </c>
      <c r="H640" s="104">
        <f>SUM(G461)</f>
        <v>1422554.08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2382653.2000000002</v>
      </c>
      <c r="H642" s="104">
        <f>SUM(I461)</f>
        <v>2382653.2000000002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44471.26</v>
      </c>
      <c r="H644" s="104">
        <f>H408</f>
        <v>44471.26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267655</v>
      </c>
      <c r="H645" s="104">
        <f>G408</f>
        <v>267655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312126.26</v>
      </c>
      <c r="H646" s="104">
        <f>L408</f>
        <v>312126.26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1232682.4099999999</v>
      </c>
      <c r="H647" s="104">
        <f>L208+L226+L244</f>
        <v>1232682.4099999999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379776.67</v>
      </c>
      <c r="H648" s="104">
        <f>(J257+J338)-(J255+J336)</f>
        <v>379776.67000000004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758699.05999999994</v>
      </c>
      <c r="H649" s="104">
        <f>H598</f>
        <v>758699.66</v>
      </c>
      <c r="I649" s="140" t="s">
        <v>388</v>
      </c>
      <c r="J649" s="109">
        <f t="shared" si="50"/>
        <v>-0.60000000009313226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473983.34999999992</v>
      </c>
      <c r="H651" s="104">
        <f>J598</f>
        <v>473982.75000000006</v>
      </c>
      <c r="I651" s="140" t="s">
        <v>390</v>
      </c>
      <c r="J651" s="109">
        <f t="shared" si="50"/>
        <v>0.59999999986030161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223473.36</v>
      </c>
      <c r="H652" s="104">
        <f>K263+K345</f>
        <v>223473.36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267655</v>
      </c>
      <c r="H655" s="104">
        <f>K266+K347</f>
        <v>267655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19078912.859999999</v>
      </c>
      <c r="G660" s="19">
        <f>(L229+L309+L359)</f>
        <v>0</v>
      </c>
      <c r="H660" s="19">
        <f>(L247+L328+L360)</f>
        <v>9267853.3099999987</v>
      </c>
      <c r="I660" s="19">
        <f>SUM(F660:H660)</f>
        <v>28346766.169999998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168095.48852398191</v>
      </c>
      <c r="G661" s="19">
        <f>(L359/IF(SUM(L358:L360)=0,1,SUM(L358:L360))*(SUM(G97:G110)))</f>
        <v>0</v>
      </c>
      <c r="H661" s="19">
        <f>(L360/IF(SUM(L358:L360)=0,1,SUM(L358:L360))*(SUM(G97:G110)))</f>
        <v>48435.01147601808</v>
      </c>
      <c r="I661" s="19">
        <f>SUM(F661:H661)</f>
        <v>216530.5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761592.86999999988</v>
      </c>
      <c r="G662" s="19">
        <f>(L226+L306)-(J226+J306)</f>
        <v>0</v>
      </c>
      <c r="H662" s="19">
        <f>(L244+L325)-(J244+J325)</f>
        <v>472972.74999999994</v>
      </c>
      <c r="I662" s="19">
        <f>SUM(F662:H662)</f>
        <v>1234565.6199999999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832194.16</v>
      </c>
      <c r="G663" s="199">
        <f>SUM(G575:G587)+SUM(I602:I604)+L612</f>
        <v>0</v>
      </c>
      <c r="H663" s="199">
        <f>SUM(H575:H587)+SUM(J602:J604)+L613</f>
        <v>694216.59</v>
      </c>
      <c r="I663" s="19">
        <f>SUM(F663:H663)</f>
        <v>1526410.75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17317030.341476016</v>
      </c>
      <c r="G664" s="19">
        <f>G660-SUM(G661:G663)</f>
        <v>0</v>
      </c>
      <c r="H664" s="19">
        <f>H660-SUM(H661:H663)</f>
        <v>8052228.9585239813</v>
      </c>
      <c r="I664" s="19">
        <f>I660-SUM(I661:I663)</f>
        <v>25369259.299999997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1006.08</v>
      </c>
      <c r="G665" s="248"/>
      <c r="H665" s="248">
        <v>482.26</v>
      </c>
      <c r="I665" s="19">
        <f>SUM(F665:H665)</f>
        <v>1488.3400000000001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17212.38</v>
      </c>
      <c r="G667" s="19" t="e">
        <f>ROUND(G664/G665,2)</f>
        <v>#DIV/0!</v>
      </c>
      <c r="H667" s="19">
        <f>ROUND(H664/H665,2)</f>
        <v>16696.86</v>
      </c>
      <c r="I667" s="19">
        <f>ROUND(I664/I665,2)</f>
        <v>17045.34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-9.94</v>
      </c>
      <c r="I670" s="19">
        <f>SUM(F670:H670)</f>
        <v>-9.94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17212.38</v>
      </c>
      <c r="G672" s="19" t="e">
        <f>ROUND((G664+G669)/(G665+G670),2)</f>
        <v>#DIV/0!</v>
      </c>
      <c r="H672" s="19">
        <f>ROUND((H664+H669)/(H665+H670),2)</f>
        <v>17048.25</v>
      </c>
      <c r="I672" s="19">
        <f>ROUND((I664+I669)/(I665+I670),2)</f>
        <v>17159.939999999999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Fall Mountain Regional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7020384.9799999995</v>
      </c>
      <c r="C9" s="229">
        <f>'DOE25'!G197+'DOE25'!G215+'DOE25'!G233+'DOE25'!G276+'DOE25'!G295+'DOE25'!G314</f>
        <v>3159544.38</v>
      </c>
    </row>
    <row r="10" spans="1:3" x14ac:dyDescent="0.2">
      <c r="A10" t="s">
        <v>778</v>
      </c>
      <c r="B10" s="240">
        <v>6448533.3700000001</v>
      </c>
      <c r="C10" s="240">
        <v>2987630.34</v>
      </c>
    </row>
    <row r="11" spans="1:3" x14ac:dyDescent="0.2">
      <c r="A11" t="s">
        <v>779</v>
      </c>
      <c r="B11" s="240">
        <v>188220.17</v>
      </c>
      <c r="C11" s="240">
        <v>137566.23000000001</v>
      </c>
    </row>
    <row r="12" spans="1:3" x14ac:dyDescent="0.2">
      <c r="A12" t="s">
        <v>780</v>
      </c>
      <c r="B12" s="240">
        <v>383631.44</v>
      </c>
      <c r="C12" s="240">
        <v>34347.81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7020384.9800000004</v>
      </c>
      <c r="C13" s="231">
        <f>SUM(C10:C12)</f>
        <v>3159544.38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4064202.91</v>
      </c>
      <c r="C18" s="229">
        <f>'DOE25'!G198+'DOE25'!G216+'DOE25'!G234+'DOE25'!G277+'DOE25'!G296+'DOE25'!G315</f>
        <v>1375885.27</v>
      </c>
    </row>
    <row r="19" spans="1:3" x14ac:dyDescent="0.2">
      <c r="A19" t="s">
        <v>778</v>
      </c>
      <c r="B19" s="240">
        <v>1578070.41</v>
      </c>
      <c r="C19" s="240">
        <v>637452.93999999994</v>
      </c>
    </row>
    <row r="20" spans="1:3" x14ac:dyDescent="0.2">
      <c r="A20" t="s">
        <v>779</v>
      </c>
      <c r="B20" s="240">
        <v>1602332.2</v>
      </c>
      <c r="C20" s="240">
        <v>328964.25</v>
      </c>
    </row>
    <row r="21" spans="1:3" x14ac:dyDescent="0.2">
      <c r="A21" t="s">
        <v>780</v>
      </c>
      <c r="B21" s="240">
        <v>883800.3</v>
      </c>
      <c r="C21" s="240">
        <v>409468.08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4064202.91</v>
      </c>
      <c r="C22" s="231">
        <f>SUM(C19:C21)</f>
        <v>1375885.27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111742.06</v>
      </c>
      <c r="C27" s="234">
        <f>'DOE25'!G199+'DOE25'!G217+'DOE25'!G235+'DOE25'!G278+'DOE25'!G297+'DOE25'!G316</f>
        <v>52278.83</v>
      </c>
    </row>
    <row r="28" spans="1:3" x14ac:dyDescent="0.2">
      <c r="A28" t="s">
        <v>778</v>
      </c>
      <c r="B28" s="240">
        <v>111742.06</v>
      </c>
      <c r="C28" s="240">
        <v>52278.83</v>
      </c>
    </row>
    <row r="29" spans="1:3" x14ac:dyDescent="0.2">
      <c r="A29" t="s">
        <v>779</v>
      </c>
      <c r="B29" s="240">
        <v>0</v>
      </c>
      <c r="C29" s="240">
        <v>0</v>
      </c>
    </row>
    <row r="30" spans="1:3" x14ac:dyDescent="0.2">
      <c r="A30" t="s">
        <v>780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111742.06</v>
      </c>
      <c r="C31" s="231">
        <f>SUM(C28:C30)</f>
        <v>52278.83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271325.28000000003</v>
      </c>
      <c r="C36" s="235">
        <f>'DOE25'!G200+'DOE25'!G218+'DOE25'!G236+'DOE25'!G279+'DOE25'!G298+'DOE25'!G317</f>
        <v>62898.130000000005</v>
      </c>
    </row>
    <row r="37" spans="1:3" x14ac:dyDescent="0.2">
      <c r="A37" t="s">
        <v>778</v>
      </c>
      <c r="B37" s="240">
        <v>86795.28</v>
      </c>
      <c r="C37" s="240">
        <v>43781.58</v>
      </c>
    </row>
    <row r="38" spans="1:3" x14ac:dyDescent="0.2">
      <c r="A38" t="s">
        <v>779</v>
      </c>
      <c r="B38" s="240">
        <v>0</v>
      </c>
      <c r="C38" s="240"/>
    </row>
    <row r="39" spans="1:3" x14ac:dyDescent="0.2">
      <c r="A39" t="s">
        <v>780</v>
      </c>
      <c r="B39" s="240">
        <v>184530</v>
      </c>
      <c r="C39" s="240">
        <v>19116.55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271325.28000000003</v>
      </c>
      <c r="C40" s="231">
        <f>SUM(C37:C39)</f>
        <v>62898.130000000005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Fall Mountain Regional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17530886.759999998</v>
      </c>
      <c r="D5" s="20">
        <f>SUM('DOE25'!L197:L200)+SUM('DOE25'!L215:L218)+SUM('DOE25'!L233:L236)-F5-G5</f>
        <v>17263879.419999998</v>
      </c>
      <c r="E5" s="243"/>
      <c r="F5" s="255">
        <f>SUM('DOE25'!J197:J200)+SUM('DOE25'!J215:J218)+SUM('DOE25'!J233:J236)</f>
        <v>241515.51999999999</v>
      </c>
      <c r="G5" s="53">
        <f>SUM('DOE25'!K197:K200)+SUM('DOE25'!K215:K218)+SUM('DOE25'!K233:K236)</f>
        <v>25491.82</v>
      </c>
      <c r="H5" s="259"/>
    </row>
    <row r="6" spans="1:9" x14ac:dyDescent="0.2">
      <c r="A6" s="32">
        <v>2100</v>
      </c>
      <c r="B6" t="s">
        <v>800</v>
      </c>
      <c r="C6" s="245">
        <f t="shared" si="0"/>
        <v>1337311.68</v>
      </c>
      <c r="D6" s="20">
        <f>'DOE25'!L202+'DOE25'!L220+'DOE25'!L238-F6-G6</f>
        <v>1333149.72</v>
      </c>
      <c r="E6" s="243"/>
      <c r="F6" s="255">
        <f>'DOE25'!J202+'DOE25'!J220+'DOE25'!J238</f>
        <v>3474.96</v>
      </c>
      <c r="G6" s="53">
        <f>'DOE25'!K202+'DOE25'!K220+'DOE25'!K238</f>
        <v>687</v>
      </c>
      <c r="H6" s="259"/>
    </row>
    <row r="7" spans="1:9" x14ac:dyDescent="0.2">
      <c r="A7" s="32">
        <v>2200</v>
      </c>
      <c r="B7" t="s">
        <v>833</v>
      </c>
      <c r="C7" s="245">
        <f t="shared" si="0"/>
        <v>1221397.1600000001</v>
      </c>
      <c r="D7" s="20">
        <f>'DOE25'!L203+'DOE25'!L221+'DOE25'!L239-F7-G7</f>
        <v>1207977.9100000001</v>
      </c>
      <c r="E7" s="243"/>
      <c r="F7" s="255">
        <f>'DOE25'!J203+'DOE25'!J221+'DOE25'!J239</f>
        <v>3142.3</v>
      </c>
      <c r="G7" s="53">
        <f>'DOE25'!K203+'DOE25'!K221+'DOE25'!K239</f>
        <v>10276.950000000001</v>
      </c>
      <c r="H7" s="259"/>
    </row>
    <row r="8" spans="1:9" x14ac:dyDescent="0.2">
      <c r="A8" s="32">
        <v>2300</v>
      </c>
      <c r="B8" t="s">
        <v>801</v>
      </c>
      <c r="C8" s="245">
        <f t="shared" si="0"/>
        <v>-5.0022208597511053E-11</v>
      </c>
      <c r="D8" s="243"/>
      <c r="E8" s="20">
        <f>'DOE25'!L204+'DOE25'!L222+'DOE25'!L240-F8-G8-D9-D11</f>
        <v>-16113.430000000051</v>
      </c>
      <c r="F8" s="255">
        <f>'DOE25'!J204+'DOE25'!J222+'DOE25'!J240</f>
        <v>8416.6500000000015</v>
      </c>
      <c r="G8" s="53">
        <f>'DOE25'!K204+'DOE25'!K222+'DOE25'!K240</f>
        <v>7696.78</v>
      </c>
      <c r="H8" s="259"/>
    </row>
    <row r="9" spans="1:9" x14ac:dyDescent="0.2">
      <c r="A9" s="32">
        <v>2310</v>
      </c>
      <c r="B9" t="s">
        <v>817</v>
      </c>
      <c r="C9" s="245">
        <f t="shared" si="0"/>
        <v>169659.56</v>
      </c>
      <c r="D9" s="244">
        <v>169659.56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23368.83</v>
      </c>
      <c r="D10" s="243"/>
      <c r="E10" s="244">
        <v>23368.83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333703.51</v>
      </c>
      <c r="D11" s="244">
        <v>333703.51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1535383.7599999998</v>
      </c>
      <c r="D12" s="20">
        <f>'DOE25'!L205+'DOE25'!L223+'DOE25'!L241-F12-G12</f>
        <v>1507627.9</v>
      </c>
      <c r="E12" s="243"/>
      <c r="F12" s="255">
        <f>'DOE25'!J205+'DOE25'!J223+'DOE25'!J241</f>
        <v>20313.670000000002</v>
      </c>
      <c r="G12" s="53">
        <f>'DOE25'!K205+'DOE25'!K223+'DOE25'!K241</f>
        <v>7442.19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311038.93</v>
      </c>
      <c r="D13" s="243"/>
      <c r="E13" s="20">
        <f>'DOE25'!L206+'DOE25'!L224+'DOE25'!L242-F13-G13</f>
        <v>307465.09999999998</v>
      </c>
      <c r="F13" s="255">
        <f>'DOE25'!J206+'DOE25'!J224+'DOE25'!J242</f>
        <v>3004.83</v>
      </c>
      <c r="G13" s="53">
        <f>'DOE25'!K206+'DOE25'!K224+'DOE25'!K242</f>
        <v>569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2762746.67</v>
      </c>
      <c r="D14" s="20">
        <f>'DOE25'!L207+'DOE25'!L225+'DOE25'!L243-F14-G14</f>
        <v>2716128.83</v>
      </c>
      <c r="E14" s="243"/>
      <c r="F14" s="255">
        <f>'DOE25'!J207+'DOE25'!J225+'DOE25'!J243</f>
        <v>46016.75</v>
      </c>
      <c r="G14" s="53">
        <f>'DOE25'!K207+'DOE25'!K225+'DOE25'!K243</f>
        <v>601.08999999999992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1232682.4099999999</v>
      </c>
      <c r="D15" s="20">
        <f>'DOE25'!L208+'DOE25'!L226+'DOE25'!L244-F15-G15</f>
        <v>1230155.92</v>
      </c>
      <c r="E15" s="243"/>
      <c r="F15" s="255">
        <f>'DOE25'!J208+'DOE25'!J226+'DOE25'!J244</f>
        <v>2526.4900000000002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364482.89</v>
      </c>
      <c r="D22" s="243"/>
      <c r="E22" s="243"/>
      <c r="F22" s="255">
        <f>'DOE25'!L255+'DOE25'!L336</f>
        <v>364482.89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132265</v>
      </c>
      <c r="D25" s="243"/>
      <c r="E25" s="243"/>
      <c r="F25" s="258"/>
      <c r="G25" s="256"/>
      <c r="H25" s="257">
        <f>'DOE25'!L260+'DOE25'!L261+'DOE25'!L341+'DOE25'!L342</f>
        <v>132265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579940.39999999991</v>
      </c>
      <c r="D29" s="20">
        <f>'DOE25'!L358+'DOE25'!L359+'DOE25'!L360-'DOE25'!I367-F29-G29</f>
        <v>572070.19999999995</v>
      </c>
      <c r="E29" s="243"/>
      <c r="F29" s="255">
        <f>'DOE25'!J358+'DOE25'!J359+'DOE25'!J360</f>
        <v>7870.2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1059675.79</v>
      </c>
      <c r="D31" s="20">
        <f>'DOE25'!L290+'DOE25'!L309+'DOE25'!L328+'DOE25'!L333+'DOE25'!L334+'DOE25'!L335-F31-G31</f>
        <v>991560.32000000007</v>
      </c>
      <c r="E31" s="243"/>
      <c r="F31" s="255">
        <f>'DOE25'!J290+'DOE25'!J309+'DOE25'!J328+'DOE25'!J333+'DOE25'!J334+'DOE25'!J335</f>
        <v>51365.5</v>
      </c>
      <c r="G31" s="53">
        <f>'DOE25'!K290+'DOE25'!K309+'DOE25'!K328+'DOE25'!K333+'DOE25'!K334+'DOE25'!K335</f>
        <v>16749.97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27325913.289999995</v>
      </c>
      <c r="E33" s="246">
        <f>SUM(E5:E31)</f>
        <v>314720.49999999994</v>
      </c>
      <c r="F33" s="246">
        <f>SUM(F5:F31)</f>
        <v>752129.76</v>
      </c>
      <c r="G33" s="246">
        <f>SUM(G5:G31)</f>
        <v>69514.8</v>
      </c>
      <c r="H33" s="246">
        <f>SUM(H5:H31)</f>
        <v>132265</v>
      </c>
    </row>
    <row r="35" spans="2:8" ht="12" thickBot="1" x14ac:dyDescent="0.25">
      <c r="B35" s="253" t="s">
        <v>846</v>
      </c>
      <c r="D35" s="254">
        <f>E33</f>
        <v>314720.49999999994</v>
      </c>
      <c r="E35" s="249"/>
    </row>
    <row r="36" spans="2:8" ht="12" thickTop="1" x14ac:dyDescent="0.2">
      <c r="B36" t="s">
        <v>814</v>
      </c>
      <c r="D36" s="20">
        <f>D33</f>
        <v>27325913.289999995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Fall Mountain Regional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1929203.79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2382653.2000000002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114497.93</v>
      </c>
      <c r="D11" s="95">
        <f>'DOE25'!G12</f>
        <v>36744.35</v>
      </c>
      <c r="E11" s="95">
        <f>'DOE25'!H12</f>
        <v>17395.87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689932.71</v>
      </c>
      <c r="D12" s="95">
        <f>'DOE25'!G13</f>
        <v>40851.82</v>
      </c>
      <c r="E12" s="95">
        <f>'DOE25'!H13</f>
        <v>250555.01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3418.74</v>
      </c>
      <c r="D13" s="95">
        <f>'DOE25'!G14</f>
        <v>0</v>
      </c>
      <c r="E13" s="95">
        <f>'DOE25'!H14</f>
        <v>10318.459999999999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6888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269887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3013828.17</v>
      </c>
      <c r="D18" s="41">
        <f>SUM(D8:D17)</f>
        <v>77596.17</v>
      </c>
      <c r="E18" s="41">
        <f>SUM(E8:E17)</f>
        <v>278269.34000000003</v>
      </c>
      <c r="F18" s="41">
        <f>SUM(F8:F17)</f>
        <v>0</v>
      </c>
      <c r="G18" s="41">
        <f>SUM(G8:G17)</f>
        <v>2382653.2000000002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54140.22</v>
      </c>
      <c r="D21" s="95">
        <f>'DOE25'!G22</f>
        <v>0</v>
      </c>
      <c r="E21" s="95">
        <f>'DOE25'!H22</f>
        <v>114497.93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85835.21</v>
      </c>
      <c r="D23" s="95">
        <f>'DOE25'!G24</f>
        <v>45710.67</v>
      </c>
      <c r="E23" s="95">
        <f>'DOE25'!H24</f>
        <v>75462.049999999988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1988847.08</v>
      </c>
      <c r="D27" s="95">
        <f>'DOE25'!G28</f>
        <v>31885.5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89215.64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2218038.1500000004</v>
      </c>
      <c r="D31" s="41">
        <f>SUM(D21:D30)</f>
        <v>77596.17</v>
      </c>
      <c r="E31" s="41">
        <f>SUM(E21:E30)</f>
        <v>189959.97999999998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6888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500000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88309.36</v>
      </c>
      <c r="F47" s="95">
        <f>'DOE25'!I48</f>
        <v>0</v>
      </c>
      <c r="G47" s="95">
        <f>'DOE25'!J48</f>
        <v>2382653.2000000002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25696.04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263205.98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795790.02</v>
      </c>
      <c r="D50" s="41">
        <f>SUM(D34:D49)</f>
        <v>0</v>
      </c>
      <c r="E50" s="41">
        <f>SUM(E34:E49)</f>
        <v>88309.36</v>
      </c>
      <c r="F50" s="41">
        <f>SUM(F34:F49)</f>
        <v>0</v>
      </c>
      <c r="G50" s="41">
        <f>SUM(G34:G49)</f>
        <v>2382653.2000000002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3013828.1700000004</v>
      </c>
      <c r="D51" s="41">
        <f>D50+D31</f>
        <v>77596.17</v>
      </c>
      <c r="E51" s="41">
        <f>E50+E31</f>
        <v>278269.33999999997</v>
      </c>
      <c r="F51" s="41">
        <f>F50+F31</f>
        <v>0</v>
      </c>
      <c r="G51" s="41">
        <f>G50+G31</f>
        <v>2382653.2000000002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16037238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593101.34</v>
      </c>
      <c r="D57" s="24" t="s">
        <v>288</v>
      </c>
      <c r="E57" s="95">
        <f>'DOE25'!H79</f>
        <v>31543.3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16318.029999999999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44471.26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216530.5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22799.79</v>
      </c>
      <c r="D61" s="95">
        <f>SUM('DOE25'!G98:G110)</f>
        <v>0</v>
      </c>
      <c r="E61" s="95">
        <f>SUM('DOE25'!H98:H110)</f>
        <v>11300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632219.16</v>
      </c>
      <c r="D62" s="130">
        <f>SUM(D57:D61)</f>
        <v>216530.5</v>
      </c>
      <c r="E62" s="130">
        <f>SUM(E57:E61)</f>
        <v>42843.3</v>
      </c>
      <c r="F62" s="130">
        <f>SUM(F57:F61)</f>
        <v>0</v>
      </c>
      <c r="G62" s="130">
        <f>SUM(G57:G61)</f>
        <v>44471.26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16669457.16</v>
      </c>
      <c r="D63" s="22">
        <f>D56+D62</f>
        <v>216530.5</v>
      </c>
      <c r="E63" s="22">
        <f>E56+E62</f>
        <v>42843.3</v>
      </c>
      <c r="F63" s="22">
        <f>F56+F62</f>
        <v>0</v>
      </c>
      <c r="G63" s="22">
        <f>G56+G62</f>
        <v>44471.26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8163840.3300000001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2240229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5747.58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10409816.91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57447.23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128872.94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103102.43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6586.77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289422.59999999998</v>
      </c>
      <c r="D78" s="130">
        <f>SUM(D72:D77)</f>
        <v>6586.77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10699239.51</v>
      </c>
      <c r="D81" s="130">
        <f>SUM(D79:D80)+D78+D70</f>
        <v>6586.77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276833.62</v>
      </c>
      <c r="D88" s="95">
        <f>SUM('DOE25'!G153:G161)</f>
        <v>386976.30999999994</v>
      </c>
      <c r="E88" s="95">
        <f>SUM('DOE25'!H153:H161)</f>
        <v>1047448.76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276833.62</v>
      </c>
      <c r="D91" s="131">
        <f>SUM(D85:D90)</f>
        <v>386976.30999999994</v>
      </c>
      <c r="E91" s="131">
        <f>SUM(E85:E90)</f>
        <v>1047448.76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223473.36</v>
      </c>
      <c r="E96" s="95">
        <f>'DOE25'!H179</f>
        <v>0</v>
      </c>
      <c r="F96" s="95">
        <f>'DOE25'!I179</f>
        <v>0</v>
      </c>
      <c r="G96" s="95">
        <f>'DOE25'!J179</f>
        <v>267655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286023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286023</v>
      </c>
      <c r="D103" s="86">
        <f>SUM(D93:D102)</f>
        <v>223473.36</v>
      </c>
      <c r="E103" s="86">
        <f>SUM(E93:E102)</f>
        <v>0</v>
      </c>
      <c r="F103" s="86">
        <f>SUM(F93:F102)</f>
        <v>0</v>
      </c>
      <c r="G103" s="86">
        <f>SUM(G93:G102)</f>
        <v>267655</v>
      </c>
    </row>
    <row r="104" spans="1:7" ht="12.75" thickTop="1" thickBot="1" x14ac:dyDescent="0.25">
      <c r="A104" s="33" t="s">
        <v>764</v>
      </c>
      <c r="C104" s="86">
        <f>C63+C81+C91+C103</f>
        <v>27931553.290000003</v>
      </c>
      <c r="D104" s="86">
        <f>D63+D81+D91+D103</f>
        <v>833566.94</v>
      </c>
      <c r="E104" s="86">
        <f>E63+E81+E91+E103</f>
        <v>1090292.06</v>
      </c>
      <c r="F104" s="86">
        <f>F63+F81+F91+F103</f>
        <v>0</v>
      </c>
      <c r="G104" s="86">
        <f>G63+G81+G103</f>
        <v>312126.26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10439117.699999999</v>
      </c>
      <c r="D109" s="24" t="s">
        <v>288</v>
      </c>
      <c r="E109" s="95">
        <f>('DOE25'!L276)+('DOE25'!L295)+('DOE25'!L314)</f>
        <v>361938.63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6294071.3099999987</v>
      </c>
      <c r="D110" s="24" t="s">
        <v>288</v>
      </c>
      <c r="E110" s="95">
        <f>('DOE25'!L277)+('DOE25'!L296)+('DOE25'!L315)</f>
        <v>421110.62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351409.98000000004</v>
      </c>
      <c r="D111" s="24" t="s">
        <v>288</v>
      </c>
      <c r="E111" s="95">
        <f>('DOE25'!L278)+('DOE25'!L297)+('DOE25'!L316)</f>
        <v>60001.89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446287.77</v>
      </c>
      <c r="D112" s="24" t="s">
        <v>288</v>
      </c>
      <c r="E112" s="95">
        <f>+('DOE25'!L279)+('DOE25'!L298)+('DOE25'!L317)</f>
        <v>33497.020000000004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17530886.759999998</v>
      </c>
      <c r="D115" s="86">
        <f>SUM(D109:D114)</f>
        <v>0</v>
      </c>
      <c r="E115" s="86">
        <f>SUM(E109:E114)</f>
        <v>876548.16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1337311.68</v>
      </c>
      <c r="D118" s="24" t="s">
        <v>288</v>
      </c>
      <c r="E118" s="95">
        <f>+('DOE25'!L281)+('DOE25'!L300)+('DOE25'!L319)</f>
        <v>36973.639999999992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1221397.1600000001</v>
      </c>
      <c r="D119" s="24" t="s">
        <v>288</v>
      </c>
      <c r="E119" s="95">
        <f>+('DOE25'!L282)+('DOE25'!L301)+('DOE25'!L320)</f>
        <v>138106.79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503363.07</v>
      </c>
      <c r="D120" s="24" t="s">
        <v>288</v>
      </c>
      <c r="E120" s="95">
        <f>+('DOE25'!L283)+('DOE25'!L302)+('DOE25'!L321)</f>
        <v>3637.5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1535383.7599999998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311038.93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2762746.67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1232682.4099999999</v>
      </c>
      <c r="D124" s="24" t="s">
        <v>288</v>
      </c>
      <c r="E124" s="95">
        <f>+('DOE25'!L287)+('DOE25'!L306)+('DOE25'!L325)</f>
        <v>4409.7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852279.94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8903923.6799999997</v>
      </c>
      <c r="D128" s="86">
        <f>SUM(D118:D127)</f>
        <v>852279.94</v>
      </c>
      <c r="E128" s="86">
        <f>SUM(E118:E127)</f>
        <v>183127.63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364482.89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100000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32265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286023</v>
      </c>
    </row>
    <row r="135" spans="1:7" x14ac:dyDescent="0.2">
      <c r="A135" t="s">
        <v>233</v>
      </c>
      <c r="B135" s="32" t="s">
        <v>234</v>
      </c>
      <c r="C135" s="95">
        <f>'DOE25'!L263</f>
        <v>223473.36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293726.14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18400.120000000003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-44471.260000000009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987876.25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286023</v>
      </c>
    </row>
    <row r="145" spans="1:9" ht="12.75" thickTop="1" thickBot="1" x14ac:dyDescent="0.25">
      <c r="A145" s="33" t="s">
        <v>244</v>
      </c>
      <c r="C145" s="86">
        <f>(C115+C128+C144)</f>
        <v>27422686.689999998</v>
      </c>
      <c r="D145" s="86">
        <f>(D115+D128+D144)</f>
        <v>852279.94</v>
      </c>
      <c r="E145" s="86">
        <f>(E115+E128+E144)</f>
        <v>1059675.79</v>
      </c>
      <c r="F145" s="86">
        <f>(F115+F128+F144)</f>
        <v>0</v>
      </c>
      <c r="G145" s="86">
        <f>(G115+G128+G144)</f>
        <v>286023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02/15/06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08/15/24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2000000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3.99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900000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900000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100000</v>
      </c>
    </row>
    <row r="159" spans="1:9" x14ac:dyDescent="0.2">
      <c r="A159" s="22" t="s">
        <v>35</v>
      </c>
      <c r="B159" s="137">
        <f>'DOE25'!F498</f>
        <v>800000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800000</v>
      </c>
    </row>
    <row r="160" spans="1:9" x14ac:dyDescent="0.2">
      <c r="A160" s="22" t="s">
        <v>36</v>
      </c>
      <c r="B160" s="137">
        <f>'DOE25'!F499</f>
        <v>134540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134540</v>
      </c>
    </row>
    <row r="161" spans="1:7" x14ac:dyDescent="0.2">
      <c r="A161" s="22" t="s">
        <v>37</v>
      </c>
      <c r="B161" s="137">
        <f>'DOE25'!F500</f>
        <v>934540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934540</v>
      </c>
    </row>
    <row r="162" spans="1:7" x14ac:dyDescent="0.2">
      <c r="A162" s="22" t="s">
        <v>38</v>
      </c>
      <c r="B162" s="137">
        <f>'DOE25'!F501</f>
        <v>100000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100000</v>
      </c>
    </row>
    <row r="163" spans="1:7" x14ac:dyDescent="0.2">
      <c r="A163" s="22" t="s">
        <v>39</v>
      </c>
      <c r="B163" s="137">
        <f>'DOE25'!F502</f>
        <v>31265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31265</v>
      </c>
    </row>
    <row r="164" spans="1:7" x14ac:dyDescent="0.2">
      <c r="A164" s="22" t="s">
        <v>246</v>
      </c>
      <c r="B164" s="137">
        <f>'DOE25'!F503</f>
        <v>131265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131265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Fall Mountain Regional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17212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17048</v>
      </c>
    </row>
    <row r="7" spans="1:4" x14ac:dyDescent="0.2">
      <c r="B7" t="s">
        <v>704</v>
      </c>
      <c r="C7" s="179">
        <f>IF('DOE25'!I665+'DOE25'!I670=0,0,ROUND('DOE25'!I672,0))</f>
        <v>17160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10801056</v>
      </c>
      <c r="D10" s="182">
        <f>ROUND((C10/$C$28)*100,1)</f>
        <v>38.4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6715182</v>
      </c>
      <c r="D11" s="182">
        <f>ROUND((C11/$C$28)*100,1)</f>
        <v>23.8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411412</v>
      </c>
      <c r="D12" s="182">
        <f>ROUND((C12/$C$28)*100,1)</f>
        <v>1.5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479785</v>
      </c>
      <c r="D13" s="182">
        <f>ROUND((C13/$C$28)*100,1)</f>
        <v>1.7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1374285</v>
      </c>
      <c r="D15" s="182">
        <f t="shared" ref="D15:D27" si="0">ROUND((C15/$C$28)*100,1)</f>
        <v>4.9000000000000004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1359504</v>
      </c>
      <c r="D16" s="182">
        <f t="shared" si="0"/>
        <v>4.8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507001</v>
      </c>
      <c r="D17" s="182">
        <f t="shared" si="0"/>
        <v>1.8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1535384</v>
      </c>
      <c r="D18" s="182">
        <f t="shared" si="0"/>
        <v>5.5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311039</v>
      </c>
      <c r="D19" s="182">
        <f t="shared" si="0"/>
        <v>1.1000000000000001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2762747</v>
      </c>
      <c r="D20" s="182">
        <f t="shared" si="0"/>
        <v>9.8000000000000007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1237092</v>
      </c>
      <c r="D21" s="182">
        <f t="shared" si="0"/>
        <v>4.4000000000000004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32265</v>
      </c>
      <c r="D25" s="182">
        <f t="shared" si="0"/>
        <v>0.1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635749.5</v>
      </c>
      <c r="D27" s="182">
        <f t="shared" si="0"/>
        <v>2.2999999999999998</v>
      </c>
    </row>
    <row r="28" spans="1:4" x14ac:dyDescent="0.2">
      <c r="B28" s="187" t="s">
        <v>722</v>
      </c>
      <c r="C28" s="180">
        <f>SUM(C10:C27)</f>
        <v>28162501.5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364483</v>
      </c>
    </row>
    <row r="30" spans="1:4" x14ac:dyDescent="0.2">
      <c r="B30" s="187" t="s">
        <v>728</v>
      </c>
      <c r="C30" s="180">
        <f>SUM(C28:C29)</f>
        <v>28526984.5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100000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16037238</v>
      </c>
      <c r="D35" s="182">
        <f t="shared" ref="D35:D40" si="1">ROUND((C35/$C$41)*100,1)</f>
        <v>55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719533.72000000253</v>
      </c>
      <c r="D36" s="182">
        <f t="shared" si="1"/>
        <v>2.5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10404069</v>
      </c>
      <c r="D37" s="182">
        <f t="shared" si="1"/>
        <v>35.700000000000003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301757</v>
      </c>
      <c r="D38" s="182">
        <f t="shared" si="1"/>
        <v>1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1711259</v>
      </c>
      <c r="D39" s="182">
        <f t="shared" si="1"/>
        <v>5.9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29173856.720000003</v>
      </c>
      <c r="D41" s="184">
        <f>SUM(D35:D40)</f>
        <v>100.10000000000001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Fall Mountain Regional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2017-10-02T17:37:38Z</cp:lastPrinted>
  <dcterms:created xsi:type="dcterms:W3CDTF">1997-12-04T19:04:30Z</dcterms:created>
  <dcterms:modified xsi:type="dcterms:W3CDTF">2017-11-29T17:15:56Z</dcterms:modified>
</cp:coreProperties>
</file>