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4000" windowHeight="847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65" i="1" l="1"/>
  <c r="C37" i="12" l="1"/>
  <c r="C39" i="12"/>
  <c r="B38" i="12"/>
  <c r="B37" i="12"/>
  <c r="B39" i="12"/>
  <c r="C20" i="12"/>
  <c r="B20" i="12"/>
  <c r="B21" i="12"/>
  <c r="C12" i="12"/>
  <c r="C10" i="12"/>
  <c r="B12" i="12"/>
  <c r="B10" i="12"/>
  <c r="B11" i="12" l="1"/>
  <c r="J595" i="1" l="1"/>
  <c r="H595" i="1"/>
  <c r="J277" i="1" l="1"/>
  <c r="F528" i="1"/>
  <c r="I528" i="1"/>
  <c r="H528" i="1"/>
  <c r="G528" i="1"/>
  <c r="I526" i="1"/>
  <c r="H526" i="1"/>
  <c r="G526" i="1"/>
  <c r="F526" i="1"/>
  <c r="G611" i="1"/>
  <c r="F611" i="1"/>
  <c r="G533" i="1" l="1"/>
  <c r="G531" i="1"/>
  <c r="F533" i="1"/>
  <c r="F531" i="1"/>
  <c r="I320" i="1"/>
  <c r="H320" i="1"/>
  <c r="G320" i="1"/>
  <c r="F320" i="1"/>
  <c r="I319" i="1"/>
  <c r="J314" i="1"/>
  <c r="G314" i="1"/>
  <c r="F314" i="1"/>
  <c r="H283" i="1"/>
  <c r="H282" i="1"/>
  <c r="G282" i="1"/>
  <c r="F282" i="1"/>
  <c r="I282" i="1"/>
  <c r="I281" i="1"/>
  <c r="G279" i="1"/>
  <c r="F279" i="1"/>
  <c r="I276" i="1"/>
  <c r="G276" i="1"/>
  <c r="F276" i="1"/>
  <c r="G281" i="1"/>
  <c r="H281" i="1"/>
  <c r="F582" i="1" l="1"/>
  <c r="J523" i="1"/>
  <c r="I523" i="1"/>
  <c r="H523" i="1"/>
  <c r="G523" i="1"/>
  <c r="F523" i="1"/>
  <c r="J521" i="1"/>
  <c r="I521" i="1"/>
  <c r="H521" i="1"/>
  <c r="G521" i="1"/>
  <c r="F521" i="1"/>
  <c r="H154" i="1" l="1"/>
  <c r="F68" i="1"/>
  <c r="G244" i="1"/>
  <c r="F244" i="1"/>
  <c r="I243" i="1"/>
  <c r="H243" i="1"/>
  <c r="G243" i="1"/>
  <c r="F243" i="1"/>
  <c r="G241" i="1"/>
  <c r="F241" i="1"/>
  <c r="I239" i="1"/>
  <c r="I238" i="1"/>
  <c r="H238" i="1"/>
  <c r="G238" i="1"/>
  <c r="F238" i="1"/>
  <c r="G236" i="1"/>
  <c r="I236" i="1"/>
  <c r="I234" i="1"/>
  <c r="H234" i="1"/>
  <c r="G234" i="1"/>
  <c r="F234" i="1"/>
  <c r="G233" i="1"/>
  <c r="F233" i="1"/>
  <c r="G208" i="1"/>
  <c r="F208" i="1"/>
  <c r="I207" i="1"/>
  <c r="H207" i="1"/>
  <c r="G207" i="1"/>
  <c r="F207" i="1"/>
  <c r="G205" i="1"/>
  <c r="F205" i="1"/>
  <c r="I203" i="1"/>
  <c r="I202" i="1"/>
  <c r="H202" i="1"/>
  <c r="G202" i="1"/>
  <c r="F202" i="1"/>
  <c r="G200" i="1"/>
  <c r="I200" i="1"/>
  <c r="I198" i="1"/>
  <c r="H198" i="1"/>
  <c r="G198" i="1"/>
  <c r="F198" i="1"/>
  <c r="H197" i="1"/>
  <c r="G197" i="1"/>
  <c r="F197" i="1"/>
  <c r="H239" i="1" l="1"/>
  <c r="G239" i="1"/>
  <c r="H203" i="1"/>
  <c r="G203" i="1"/>
  <c r="F200" i="1"/>
  <c r="H20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F17" i="13"/>
  <c r="G17" i="13"/>
  <c r="L251" i="1"/>
  <c r="F18" i="13"/>
  <c r="G18" i="13"/>
  <c r="L252" i="1"/>
  <c r="F19" i="13"/>
  <c r="D19" i="13" s="1"/>
  <c r="C19" i="13" s="1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E121" i="2" s="1"/>
  <c r="L285" i="1"/>
  <c r="L286" i="1"/>
  <c r="L287" i="1"/>
  <c r="L288" i="1"/>
  <c r="L295" i="1"/>
  <c r="L296" i="1"/>
  <c r="L297" i="1"/>
  <c r="L298" i="1"/>
  <c r="E112" i="2" s="1"/>
  <c r="L300" i="1"/>
  <c r="L301" i="1"/>
  <c r="L302" i="1"/>
  <c r="L303" i="1"/>
  <c r="L304" i="1"/>
  <c r="L305" i="1"/>
  <c r="L306" i="1"/>
  <c r="L307" i="1"/>
  <c r="E125" i="2" s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56" i="2" s="1"/>
  <c r="F79" i="1"/>
  <c r="C57" i="2" s="1"/>
  <c r="F94" i="1"/>
  <c r="C58" i="2" s="1"/>
  <c r="F111" i="1"/>
  <c r="G111" i="1"/>
  <c r="H79" i="1"/>
  <c r="E57" i="2" s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F162" i="1"/>
  <c r="G147" i="1"/>
  <c r="D85" i="2" s="1"/>
  <c r="D91" i="2" s="1"/>
  <c r="G162" i="1"/>
  <c r="H147" i="1"/>
  <c r="H162" i="1"/>
  <c r="H169" i="1" s="1"/>
  <c r="I147" i="1"/>
  <c r="I169" i="1" s="1"/>
  <c r="I162" i="1"/>
  <c r="L250" i="1"/>
  <c r="L332" i="1"/>
  <c r="L254" i="1"/>
  <c r="C25" i="10"/>
  <c r="L268" i="1"/>
  <c r="L269" i="1"/>
  <c r="L349" i="1"/>
  <c r="C26" i="10" s="1"/>
  <c r="L350" i="1"/>
  <c r="I665" i="1"/>
  <c r="I670" i="1"/>
  <c r="L229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C114" i="2"/>
  <c r="E114" i="2"/>
  <c r="D115" i="2"/>
  <c r="F115" i="2"/>
  <c r="G115" i="2"/>
  <c r="E123" i="2"/>
  <c r="C125" i="2"/>
  <c r="F128" i="2"/>
  <c r="G128" i="2"/>
  <c r="C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H408" i="1"/>
  <c r="H644" i="1" s="1"/>
  <c r="J644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H461" i="1" s="1"/>
  <c r="H641" i="1" s="1"/>
  <c r="F470" i="1"/>
  <c r="G470" i="1"/>
  <c r="H470" i="1"/>
  <c r="I470" i="1"/>
  <c r="I476" i="1" s="1"/>
  <c r="H625" i="1" s="1"/>
  <c r="J470" i="1"/>
  <c r="J476" i="1" s="1"/>
  <c r="H626" i="1" s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1" i="1"/>
  <c r="G643" i="1"/>
  <c r="G644" i="1"/>
  <c r="G651" i="1"/>
  <c r="G652" i="1"/>
  <c r="H652" i="1"/>
  <c r="G653" i="1"/>
  <c r="H653" i="1"/>
  <c r="G654" i="1"/>
  <c r="H654" i="1"/>
  <c r="H655" i="1"/>
  <c r="J655" i="1" s="1"/>
  <c r="F192" i="1"/>
  <c r="A31" i="12"/>
  <c r="D62" i="2"/>
  <c r="D18" i="13"/>
  <c r="C18" i="13" s="1"/>
  <c r="D17" i="13"/>
  <c r="C17" i="13" s="1"/>
  <c r="F78" i="2"/>
  <c r="F81" i="2" s="1"/>
  <c r="G62" i="2"/>
  <c r="E78" i="2"/>
  <c r="H112" i="1"/>
  <c r="J571" i="1"/>
  <c r="L419" i="1"/>
  <c r="F169" i="1"/>
  <c r="K550" i="1"/>
  <c r="G22" i="2"/>
  <c r="H140" i="1"/>
  <c r="L401" i="1"/>
  <c r="C139" i="2" s="1"/>
  <c r="F22" i="13"/>
  <c r="C22" i="13" s="1"/>
  <c r="F552" i="1"/>
  <c r="L309" i="1"/>
  <c r="I571" i="1"/>
  <c r="G36" i="2"/>
  <c r="G408" i="1" l="1"/>
  <c r="H645" i="1" s="1"/>
  <c r="J622" i="1"/>
  <c r="F461" i="1"/>
  <c r="H639" i="1" s="1"/>
  <c r="I460" i="1"/>
  <c r="I461" i="1" s="1"/>
  <c r="H642" i="1" s="1"/>
  <c r="J639" i="1"/>
  <c r="J640" i="1"/>
  <c r="G624" i="1"/>
  <c r="G476" i="1"/>
  <c r="H623" i="1" s="1"/>
  <c r="J623" i="1" s="1"/>
  <c r="I369" i="1"/>
  <c r="H634" i="1" s="1"/>
  <c r="J634" i="1" s="1"/>
  <c r="F661" i="1"/>
  <c r="G661" i="1"/>
  <c r="D29" i="13"/>
  <c r="C29" i="13" s="1"/>
  <c r="D18" i="2"/>
  <c r="H476" i="1"/>
  <c r="H624" i="1" s="1"/>
  <c r="L351" i="1"/>
  <c r="L270" i="1"/>
  <c r="G645" i="1"/>
  <c r="J645" i="1" s="1"/>
  <c r="J617" i="1"/>
  <c r="A13" i="12"/>
  <c r="J651" i="1"/>
  <c r="K598" i="1"/>
  <c r="G647" i="1" s="1"/>
  <c r="K605" i="1"/>
  <c r="G648" i="1" s="1"/>
  <c r="L393" i="1"/>
  <c r="C138" i="2" s="1"/>
  <c r="J643" i="1"/>
  <c r="K545" i="1"/>
  <c r="G552" i="1"/>
  <c r="G164" i="2"/>
  <c r="G157" i="2"/>
  <c r="G156" i="2"/>
  <c r="K500" i="1"/>
  <c r="G545" i="1"/>
  <c r="H552" i="1"/>
  <c r="K549" i="1"/>
  <c r="E110" i="2"/>
  <c r="E122" i="2"/>
  <c r="E124" i="2"/>
  <c r="H662" i="1"/>
  <c r="E120" i="2"/>
  <c r="L328" i="1"/>
  <c r="H338" i="1"/>
  <c r="H352" i="1" s="1"/>
  <c r="E119" i="2"/>
  <c r="K338" i="1"/>
  <c r="K352" i="1" s="1"/>
  <c r="E118" i="2"/>
  <c r="G338" i="1"/>
  <c r="G352" i="1" s="1"/>
  <c r="F338" i="1"/>
  <c r="F352" i="1" s="1"/>
  <c r="E109" i="2"/>
  <c r="L290" i="1"/>
  <c r="J545" i="1"/>
  <c r="H545" i="1"/>
  <c r="E62" i="2"/>
  <c r="E63" i="2" s="1"/>
  <c r="C91" i="2"/>
  <c r="C78" i="2"/>
  <c r="C81" i="2" s="1"/>
  <c r="C124" i="2"/>
  <c r="J257" i="1"/>
  <c r="J271" i="1" s="1"/>
  <c r="C19" i="10"/>
  <c r="C120" i="2"/>
  <c r="C110" i="2"/>
  <c r="C109" i="2"/>
  <c r="E16" i="13"/>
  <c r="C16" i="13" s="1"/>
  <c r="C17" i="10"/>
  <c r="C20" i="10"/>
  <c r="E8" i="13"/>
  <c r="C8" i="13" s="1"/>
  <c r="G257" i="1"/>
  <c r="G271" i="1" s="1"/>
  <c r="D14" i="13"/>
  <c r="C14" i="13" s="1"/>
  <c r="C121" i="2"/>
  <c r="D7" i="13"/>
  <c r="C7" i="13" s="1"/>
  <c r="D6" i="13"/>
  <c r="C6" i="13" s="1"/>
  <c r="K257" i="1"/>
  <c r="K271" i="1" s="1"/>
  <c r="C13" i="10"/>
  <c r="L247" i="1"/>
  <c r="H257" i="1"/>
  <c r="H271" i="1" s="1"/>
  <c r="C11" i="10"/>
  <c r="G649" i="1"/>
  <c r="J649" i="1" s="1"/>
  <c r="H647" i="1"/>
  <c r="C18" i="10"/>
  <c r="D12" i="13"/>
  <c r="C12" i="13" s="1"/>
  <c r="I257" i="1"/>
  <c r="I271" i="1" s="1"/>
  <c r="C112" i="2"/>
  <c r="A40" i="12"/>
  <c r="D5" i="13"/>
  <c r="C5" i="13" s="1"/>
  <c r="F257" i="1"/>
  <c r="F271" i="1" s="1"/>
  <c r="C10" i="10"/>
  <c r="J641" i="1"/>
  <c r="J625" i="1"/>
  <c r="L534" i="1"/>
  <c r="I446" i="1"/>
  <c r="G642" i="1" s="1"/>
  <c r="E142" i="2"/>
  <c r="C123" i="2"/>
  <c r="C119" i="2"/>
  <c r="F85" i="2"/>
  <c r="L211" i="1"/>
  <c r="C16" i="10"/>
  <c r="J112" i="1"/>
  <c r="J193" i="1" s="1"/>
  <c r="G646" i="1" s="1"/>
  <c r="D63" i="2"/>
  <c r="L529" i="1"/>
  <c r="K551" i="1"/>
  <c r="E81" i="2"/>
  <c r="L539" i="1"/>
  <c r="K503" i="1"/>
  <c r="L382" i="1"/>
  <c r="G636" i="1" s="1"/>
  <c r="J636" i="1" s="1"/>
  <c r="G81" i="2"/>
  <c r="C62" i="2"/>
  <c r="C63" i="2" s="1"/>
  <c r="G662" i="1"/>
  <c r="C15" i="10"/>
  <c r="C29" i="10"/>
  <c r="D15" i="13"/>
  <c r="C15" i="13" s="1"/>
  <c r="L544" i="1"/>
  <c r="D127" i="2"/>
  <c r="D128" i="2" s="1"/>
  <c r="D145" i="2" s="1"/>
  <c r="C122" i="2"/>
  <c r="C118" i="2"/>
  <c r="F662" i="1"/>
  <c r="E13" i="13"/>
  <c r="C13" i="13" s="1"/>
  <c r="H25" i="13"/>
  <c r="F112" i="1"/>
  <c r="G625" i="1"/>
  <c r="L614" i="1"/>
  <c r="C21" i="10"/>
  <c r="C12" i="10"/>
  <c r="G112" i="1"/>
  <c r="C35" i="10"/>
  <c r="L524" i="1"/>
  <c r="J338" i="1"/>
  <c r="J352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J619" i="1"/>
  <c r="D103" i="2"/>
  <c r="I140" i="1"/>
  <c r="A22" i="12"/>
  <c r="J652" i="1"/>
  <c r="G571" i="1"/>
  <c r="I434" i="1"/>
  <c r="G434" i="1"/>
  <c r="I663" i="1"/>
  <c r="C27" i="10"/>
  <c r="G635" i="1"/>
  <c r="J635" i="1" s="1"/>
  <c r="F51" i="2" l="1"/>
  <c r="I193" i="1"/>
  <c r="G630" i="1" s="1"/>
  <c r="J630" i="1" s="1"/>
  <c r="F104" i="2"/>
  <c r="J642" i="1"/>
  <c r="J624" i="1"/>
  <c r="I661" i="1"/>
  <c r="J647" i="1"/>
  <c r="K552" i="1"/>
  <c r="E115" i="2"/>
  <c r="L338" i="1"/>
  <c r="L352" i="1" s="1"/>
  <c r="G633" i="1" s="1"/>
  <c r="J633" i="1" s="1"/>
  <c r="H660" i="1"/>
  <c r="H664" i="1" s="1"/>
  <c r="H667" i="1" s="1"/>
  <c r="E128" i="2"/>
  <c r="D104" i="2"/>
  <c r="C36" i="10"/>
  <c r="C104" i="2"/>
  <c r="F193" i="1"/>
  <c r="G627" i="1" s="1"/>
  <c r="J627" i="1" s="1"/>
  <c r="H648" i="1"/>
  <c r="J648" i="1" s="1"/>
  <c r="C115" i="2"/>
  <c r="E33" i="13"/>
  <c r="D35" i="13" s="1"/>
  <c r="L257" i="1"/>
  <c r="L271" i="1" s="1"/>
  <c r="G632" i="1" s="1"/>
  <c r="J632" i="1" s="1"/>
  <c r="C28" i="10"/>
  <c r="D12" i="10" s="1"/>
  <c r="F660" i="1"/>
  <c r="F664" i="1" s="1"/>
  <c r="L408" i="1"/>
  <c r="D31" i="13"/>
  <c r="C31" i="13" s="1"/>
  <c r="G664" i="1"/>
  <c r="L545" i="1"/>
  <c r="C25" i="13"/>
  <c r="H33" i="13"/>
  <c r="G104" i="2"/>
  <c r="C128" i="2"/>
  <c r="I662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H672" i="1"/>
  <c r="C6" i="10" s="1"/>
  <c r="D33" i="13"/>
  <c r="D36" i="13" s="1"/>
  <c r="C145" i="2"/>
  <c r="D26" i="10"/>
  <c r="C30" i="10"/>
  <c r="D25" i="10"/>
  <c r="D21" i="10"/>
  <c r="D10" i="10"/>
  <c r="D16" i="10"/>
  <c r="D20" i="10"/>
  <c r="D23" i="10"/>
  <c r="D13" i="10"/>
  <c r="D18" i="10"/>
  <c r="D15" i="10"/>
  <c r="D19" i="10"/>
  <c r="D11" i="10"/>
  <c r="D22" i="10"/>
  <c r="D27" i="10"/>
  <c r="D17" i="10"/>
  <c r="D24" i="10"/>
  <c r="I660" i="1"/>
  <c r="I664" i="1" s="1"/>
  <c r="I672" i="1" s="1"/>
  <c r="C7" i="10" s="1"/>
  <c r="F672" i="1"/>
  <c r="C4" i="10" s="1"/>
  <c r="F667" i="1"/>
  <c r="G667" i="1"/>
  <c r="G672" i="1"/>
  <c r="C5" i="10" s="1"/>
  <c r="G637" i="1"/>
  <c r="J637" i="1" s="1"/>
  <c r="H646" i="1"/>
  <c r="J646" i="1" s="1"/>
  <c r="C41" i="10"/>
  <c r="D38" i="10" s="1"/>
  <c r="D28" i="10" l="1"/>
  <c r="I667" i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<sst xmlns="http://schemas.openxmlformats.org/spreadsheetml/2006/main" count="3960" uniqueCount="918">
  <si>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</si>
  <si>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</si>
  <si>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</si>
  <si>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</si>
  <si>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</si>
  <si>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</si>
  <si>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</si>
  <si>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</si>
  <si>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</si>
  <si>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</si>
  <si>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</si>
  <si>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</si>
  <si>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</si>
  <si>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</si>
  <si>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</si>
  <si>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</si>
  <si>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</si>
  <si>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</si>
  <si>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</si>
  <si>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</si>
  <si>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</si>
  <si>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</si>
  <si>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</si>
  <si>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</si>
  <si>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</si>
  <si>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</si>
  <si>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</si>
  <si>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</si>
  <si>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</si>
  <si>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</si>
  <si>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</si>
  <si>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</si>
  <si>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</si>
  <si>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</si>
  <si>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</si>
  <si>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</si>
  <si>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</si>
  <si>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</si>
  <si>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</si>
  <si>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</si>
  <si>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</si>
  <si>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</si>
  <si>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</si>
  <si>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</si>
  <si>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</si>
  <si>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</si>
  <si>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</si>
  <si>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</si>
  <si>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</si>
  <si>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</si>
  <si>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</si>
  <si>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</si>
  <si>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</si>
  <si>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</si>
  <si>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</si>
  <si>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</si>
  <si>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</si>
  <si>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</si>
  <si>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</si>
  <si>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</si>
  <si>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</si>
  <si>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</si>
  <si>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</si>
  <si>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</si>
  <si>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</si>
  <si>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</si>
  <si>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</si>
  <si>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</si>
  <si>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</si>
  <si>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</si>
  <si>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</si>
  <si>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</si>
  <si>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</si>
  <si>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</si>
  <si>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</si>
  <si>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</si>
  <si>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</si>
  <si>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</si>
  <si>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</si>
  <si>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</si>
  <si>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</si>
  <si>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</si>
  <si>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</si>
  <si>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</si>
  <si>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</si>
  <si>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</si>
  <si>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</si>
  <si>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</si>
  <si>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</si>
  <si>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</si>
  <si>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</si>
  <si>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</si>
  <si>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</si>
  <si>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</si>
  <si>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</si>
  <si>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</si>
  <si>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</si>
  <si>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</si>
  <si>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</si>
  <si>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</si>
  <si>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</si>
  <si>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</si>
  <si>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</si>
  <si>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</si>
  <si>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</si>
  <si>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</si>
  <si>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</si>
  <si>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</si>
  <si>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</si>
  <si>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</si>
  <si>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</si>
  <si>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</si>
  <si>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</si>
  <si>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</si>
  <si>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</si>
  <si>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</si>
  <si>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</si>
  <si>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</si>
  <si>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</si>
  <si>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</si>
  <si>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</si>
  <si>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</si>
  <si>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</si>
  <si>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</si>
  <si>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</si>
  <si>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</si>
  <si>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</si>
  <si>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</si>
  <si>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</si>
  <si>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</si>
  <si>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</si>
  <si>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</si>
  <si>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</si>
  <si>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</si>
  <si>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</si>
  <si>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</si>
  <si>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</si>
  <si>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</si>
  <si>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</si>
  <si>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</si>
  <si>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</si>
  <si>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</si>
  <si>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</si>
  <si>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</si>
  <si>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</si>
  <si>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</si>
  <si>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</si>
  <si>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</si>
  <si>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</si>
  <si>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</si>
  <si>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</si>
  <si>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</si>
  <si>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</si>
  <si>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</si>
  <si>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</si>
  <si>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</si>
  <si>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</si>
  <si>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</si>
  <si>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</si>
  <si>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</si>
  <si>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</si>
  <si>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</si>
  <si>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</si>
  <si>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</si>
  <si>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</si>
  <si>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</si>
  <si>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</si>
  <si>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</si>
  <si>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</si>
  <si>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</si>
  <si>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</si>
  <si>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</si>
  <si>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</si>
  <si>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</si>
  <si>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</si>
  <si>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</si>
  <si>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</si>
  <si>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</si>
  <si>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</si>
  <si>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</si>
  <si>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</si>
  <si>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</si>
  <si>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</si>
  <si>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</si>
  <si>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</si>
  <si>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</si>
  <si>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</si>
  <si>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</si>
  <si>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</si>
  <si>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</si>
  <si>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</si>
  <si>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</si>
  <si>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</si>
  <si>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</si>
  <si>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</si>
  <si>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</si>
  <si>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</si>
  <si>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</si>
  <si>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</si>
  <si>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</si>
  <si>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</si>
  <si>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</si>
  <si>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</si>
  <si>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</si>
  <si>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</si>
  <si>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</si>
  <si>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</si>
  <si>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</si>
  <si>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</si>
  <si>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</si>
  <si>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</si>
  <si>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</si>
  <si>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</si>
  <si>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</si>
  <si>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</si>
  <si>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</si>
  <si>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</si>
  <si>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</si>
  <si>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</si>
  <si>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</si>
  <si>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</si>
  <si>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</si>
  <si>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</si>
  <si>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</si>
  <si>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</si>
  <si>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</si>
  <si>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</si>
  <si>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</si>
  <si>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</si>
  <si>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</si>
  <si>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</si>
  <si>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</si>
  <si>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</si>
  <si>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</si>
  <si>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</si>
  <si>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</si>
  <si>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</si>
  <si>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</si>
  <si>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</si>
  <si>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</si>
  <si>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</si>
  <si>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</si>
  <si>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</si>
  <si>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</si>
  <si>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</si>
  <si>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</si>
  <si>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</si>
  <si>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</si>
  <si>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</si>
  <si>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</si>
  <si>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</si>
  <si>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</si>
  <si>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</si>
  <si>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</si>
  <si>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</si>
  <si>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</si>
  <si>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</si>
  <si>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</si>
  <si>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</si>
  <si>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</si>
  <si>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</si>
  <si>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</si>
  <si>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</si>
  <si>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</si>
  <si>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</si>
  <si>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</si>
  <si>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</si>
  <si>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</si>
  <si>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</si>
  <si>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</si>
  <si>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</si>
  <si>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</si>
  <si>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</si>
  <si>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</si>
  <si>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</si>
  <si>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</si>
  <si>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</si>
  <si>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</si>
  <si>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</si>
  <si>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</si>
  <si>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</si>
  <si>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</si>
  <si>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</si>
  <si>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</si>
  <si>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</si>
  <si>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</si>
  <si>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</si>
  <si>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</si>
  <si>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</si>
  <si>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</si>
  <si>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</si>
  <si>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</si>
  <si>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</si>
  <si>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</si>
  <si>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</si>
  <si>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</si>
  <si>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</si>
  <si>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</si>
  <si>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</si>
  <si>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</si>
  <si>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</si>
  <si>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</si>
  <si>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</si>
  <si>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</si>
  <si>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</si>
  <si>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</si>
  <si>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</si>
  <si>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</si>
  <si>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</si>
  <si>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</si>
  <si>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</si>
  <si>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</si>
  <si>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</si>
  <si>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</si>
  <si>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</si>
  <si>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</si>
  <si>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</si>
  <si>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</si>
  <si>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</si>
  <si>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</si>
  <si>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</si>
  <si>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</si>
  <si>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</si>
  <si>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</si>
  <si>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</si>
  <si>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</si>
  <si>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</si>
  <si>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</si>
  <si>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</si>
  <si>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</si>
  <si>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</si>
  <si>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</si>
  <si>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</si>
  <si>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</si>
  <si>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</si>
  <si>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</si>
  <si>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</si>
  <si>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</si>
  <si>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</si>
  <si>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</si>
  <si>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</si>
  <si>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</si>
  <si>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</si>
  <si>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</si>
  <si>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</si>
  <si>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</si>
  <si>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</si>
  <si>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</si>
  <si>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</si>
  <si>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</si>
  <si>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</si>
  <si>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</si>
  <si>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</si>
  <si>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</si>
  <si>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</si>
  <si>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</si>
  <si>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</si>
  <si>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</si>
  <si>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</si>
  <si>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</si>
  <si>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</si>
  <si>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</si>
  <si>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</si>
  <si>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</si>
  <si>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</si>
  <si>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</si>
  <si>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</si>
  <si>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</si>
  <si>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</si>
  <si>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</si>
  <si>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</si>
  <si>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</si>
  <si>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</si>
  <si>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</si>
  <si>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</si>
  <si>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</si>
  <si>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</si>
  <si>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</si>
  <si>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</si>
  <si>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</si>
  <si>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</si>
  <si>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</si>
  <si>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</si>
  <si>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</si>
  <si>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</si>
  <si>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</si>
  <si>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</si>
  <si>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</si>
  <si>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</si>
  <si>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</si>
  <si>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</si>
  <si>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</si>
  <si>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</si>
  <si>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</si>
  <si>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</si>
  <si>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</si>
  <si>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</si>
  <si>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</si>
  <si>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</si>
  <si>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</si>
  <si>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</si>
  <si>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</si>
  <si>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</si>
  <si>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</si>
  <si>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</si>
  <si>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</si>
  <si>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</si>
  <si>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</si>
  <si>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</si>
  <si>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</si>
  <si>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</si>
  <si>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</si>
  <si>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</si>
  <si>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</si>
  <si>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</si>
  <si>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</si>
  <si>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</si>
  <si>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</si>
  <si>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</si>
  <si>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</si>
  <si>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</si>
  <si>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</si>
  <si>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</si>
  <si>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</si>
  <si>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</si>
  <si>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</si>
  <si>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</si>
  <si>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</si>
  <si>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</si>
  <si>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</si>
  <si>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</si>
  <si>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</si>
  <si>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</si>
  <si>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</si>
  <si>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</si>
  <si>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</si>
  <si>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</si>
  <si>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</si>
  <si>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</si>
  <si>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</si>
  <si>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</si>
  <si>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</si>
  <si>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</si>
  <si>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</si>
  <si>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</si>
  <si>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</si>
  <si>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</si>
  <si>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</si>
  <si>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</si>
  <si>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</si>
  <si>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</si>
  <si>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</si>
  <si>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</si>
  <si>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</si>
  <si>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</si>
  <si>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</si>
  <si>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</si>
  <si>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</si>
  <si>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</si>
  <si>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</si>
  <si>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</si>
  <si>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</si>
  <si>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</si>
  <si>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</si>
  <si>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</si>
  <si>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</si>
  <si>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</si>
  <si>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</si>
  <si>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</si>
  <si>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</si>
  <si>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</si>
  <si>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</si>
  <si>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</si>
  <si>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</si>
  <si>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</si>
  <si>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</si>
  <si>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</si>
  <si>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</si>
  <si>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</si>
  <si>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</si>
  <si>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</si>
  <si>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</si>
  <si>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</si>
  <si>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</si>
  <si>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</si>
  <si>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</si>
  <si>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</si>
  <si>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</si>
  <si>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</si>
  <si>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</si>
  <si>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</si>
  <si>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</si>
  <si>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</si>
  <si>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</si>
  <si>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</si>
  <si>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</si>
  <si>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</si>
  <si>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</si>
  <si>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</si>
  <si>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</si>
  <si>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</si>
  <si>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</si>
  <si>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</si>
  <si>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</si>
  <si>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</si>
  <si>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</si>
  <si>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</si>
  <si>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</si>
  <si>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</si>
  <si>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</si>
  <si>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</si>
  <si>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</si>
  <si>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</si>
  <si>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</si>
  <si>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</si>
  <si>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</si>
  <si>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</si>
  <si>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</si>
  <si>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</si>
  <si>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</si>
  <si>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</si>
  <si>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</si>
  <si>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</si>
  <si>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</si>
  <si>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</si>
  <si>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</si>
  <si>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</si>
  <si>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</si>
  <si>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</si>
  <si>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</si>
  <si>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</si>
  <si>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</si>
  <si>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</si>
  <si>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</si>
  <si>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</si>
  <si>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</si>
  <si>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</si>
  <si>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</si>
  <si>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</si>
  <si>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</si>
  <si>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</si>
  <si>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</si>
  <si>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</si>
  <si>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</si>
  <si>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</si>
  <si>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</si>
  <si>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</si>
  <si>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</si>
  <si>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</si>
  <si>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</si>
  <si>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</si>
  <si>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</si>
  <si>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</si>
  <si>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</si>
  <si>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</si>
  <si>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</si>
  <si>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</si>
  <si>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</si>
  <si>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</si>
  <si>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</si>
  <si>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</si>
  <si>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</si>
  <si>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</si>
  <si>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</si>
  <si>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</si>
  <si>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</si>
  <si>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</si>
  <si>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</si>
  <si>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</si>
  <si>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</si>
  <si>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</si>
  <si>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</si>
  <si>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</si>
  <si>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</si>
  <si>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</si>
  <si>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</si>
  <si>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</si>
  <si>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</si>
  <si>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</si>
  <si>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</si>
  <si>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</si>
  <si>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</si>
  <si>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</si>
  <si>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</si>
  <si>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</si>
  <si>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</si>
  <si>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</si>
  <si>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</si>
  <si>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</si>
  <si>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</si>
  <si>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</si>
  <si>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</si>
  <si>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</si>
  <si>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</si>
  <si>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</si>
  <si>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</si>
  <si>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</si>
  <si>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</si>
  <si>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</si>
  <si>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</si>
  <si>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</si>
  <si>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</si>
  <si>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</si>
  <si>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</si>
  <si>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</si>
  <si>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</si>
  <si>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</si>
  <si>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</si>
  <si>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</si>
  <si>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</si>
  <si>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</si>
  <si>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</si>
  <si>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</si>
  <si>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</si>
  <si>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</si>
  <si>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</si>
  <si>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</si>
  <si>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</si>
  <si>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</si>
  <si>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</si>
  <si>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</si>
  <si>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</si>
  <si>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</si>
  <si>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</si>
  <si>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</si>
  <si>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</si>
  <si>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</si>
  <si>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</si>
  <si>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</si>
  <si>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</si>
  <si>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</si>
  <si>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</si>
  <si>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</si>
  <si>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</si>
  <si>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</si>
  <si>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</si>
  <si>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</si>
  <si>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</si>
  <si>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</si>
  <si>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</si>
  <si>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</si>
  <si>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</si>
  <si>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</si>
  <si>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</si>
  <si>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</si>
  <si>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</si>
  <si>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</si>
  <si>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</si>
  <si>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</si>
  <si>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</si>
  <si>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</si>
  <si>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</si>
  <si>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</si>
  <si>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</si>
  <si>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</si>
  <si>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</si>
  <si>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</si>
  <si>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</si>
  <si>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</si>
  <si>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</si>
  <si>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</si>
  <si>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</si>
  <si>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</si>
  <si>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</si>
  <si>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</si>
  <si>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</si>
  <si>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</si>
  <si>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</si>
  <si>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</si>
  <si>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</si>
  <si>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</si>
  <si>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</si>
  <si>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</si>
  <si>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</si>
  <si>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</si>
  <si>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</si>
  <si>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</si>
  <si>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</si>
  <si>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</si>
  <si>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</si>
  <si>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</si>
  <si>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</si>
  <si>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</si>
  <si>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</si>
  <si>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</si>
  <si>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</si>
  <si>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</si>
  <si>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</si>
  <si>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</si>
  <si>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</si>
  <si>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</si>
  <si>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</si>
  <si>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</si>
  <si>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</si>
  <si>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</si>
  <si>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</si>
  <si>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</si>
  <si>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</si>
  <si>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</si>
  <si>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</si>
  <si>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</si>
  <si>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</si>
  <si>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</si>
  <si>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</si>
  <si>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</si>
  <si>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</si>
  <si>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</si>
  <si>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</si>
  <si>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</si>
  <si>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</si>
  <si>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</si>
  <si>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</si>
  <si>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</si>
  <si>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</si>
  <si>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</si>
  <si>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</si>
  <si>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</si>
  <si>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</si>
  <si>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</si>
  <si>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</si>
  <si>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</si>
  <si>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</si>
  <si>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</si>
  <si>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</si>
  <si>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</si>
  <si>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</si>
  <si>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</si>
  <si>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</si>
  <si>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</si>
  <si>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</si>
  <si>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</si>
  <si>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</si>
  <si>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</si>
  <si>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</si>
  <si>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</si>
  <si>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</si>
  <si>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</si>
  <si>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</si>
  <si>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</si>
  <si>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</si>
  <si>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</si>
  <si>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</si>
  <si>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</si>
  <si>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</si>
  <si>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</si>
  <si>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</si>
  <si>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</si>
  <si>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</si>
  <si>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</si>
  <si>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</si>
  <si>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</si>
  <si>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</si>
  <si>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</si>
  <si>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</si>
  <si>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</si>
  <si>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</si>
  <si>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</si>
  <si>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</si>
  <si>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</si>
  <si>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</si>
  <si>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</si>
  <si>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</si>
  <si>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</si>
  <si>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</si>
  <si>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</si>
  <si>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</si>
  <si>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</si>
  <si>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</si>
  <si>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</si>
  <si>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</si>
  <si>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</si>
  <si>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</si>
  <si>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</si>
  <si>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</si>
  <si>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</si>
  <si>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</si>
  <si>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</si>
  <si>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</si>
  <si>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</si>
  <si>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</si>
  <si>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</si>
  <si>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</si>
  <si>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</si>
  <si>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</si>
  <si>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</si>
  <si>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</si>
  <si>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</si>
  <si>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</si>
  <si>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</si>
  <si>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</si>
  <si>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</si>
  <si>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</si>
  <si>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</si>
  <si>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</si>
  <si>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</si>
  <si>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</si>
  <si>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</si>
  <si>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</si>
  <si>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</si>
  <si>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</si>
  <si>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</si>
  <si>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</si>
  <si>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</si>
  <si>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</si>
  <si>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</si>
  <si>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</si>
  <si>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</si>
  <si>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</si>
  <si>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</si>
  <si>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</si>
  <si>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</si>
  <si>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</si>
  <si>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</si>
  <si>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</si>
  <si>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</si>
  <si>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</si>
  <si>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</si>
  <si>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</si>
  <si>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</si>
  <si>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</si>
  <si>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</si>
  <si>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</si>
  <si>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</si>
  <si>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</si>
  <si>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</si>
  <si>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</si>
  <si>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</si>
  <si>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</si>
  <si>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</si>
  <si>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</si>
  <si>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</si>
  <si>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</si>
  <si>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</si>
  <si>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</si>
  <si>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</si>
  <si>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</si>
  <si>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</si>
  <si>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</si>
  <si>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</si>
  <si>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</si>
  <si>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</si>
  <si>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</si>
  <si>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</si>
  <si>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</si>
  <si>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</si>
  <si>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</si>
  <si>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</si>
  <si>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</si>
  <si>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</si>
  <si>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</si>
  <si>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</si>
  <si>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</si>
  <si>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</si>
  <si>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</si>
  <si>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</si>
  <si>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</si>
  <si>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</si>
  <si>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</si>
  <si>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</si>
  <si>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</si>
  <si>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</si>
  <si>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</si>
  <si>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</si>
  <si>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</si>
  <si>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</si>
  <si>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</si>
  <si>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</si>
  <si>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</si>
  <si>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</si>
  <si>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</si>
  <si>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</si>
  <si>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</si>
  <si>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</si>
  <si>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</si>
  <si>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</si>
  <si>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</si>
  <si>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</si>
  <si>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</si>
  <si>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</si>
  <si>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</si>
  <si>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</si>
  <si>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</si>
  <si>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</si>
  <si>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</si>
  <si>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</si>
  <si>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</si>
  <si>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</si>
  <si>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</si>
  <si>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</si>
  <si>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</si>
  <si>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</si>
  <si>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</si>
  <si>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</si>
  <si>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</si>
  <si>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</si>
  <si>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</si>
  <si>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</si>
  <si>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</si>
  <si>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</si>
  <si>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</si>
  <si>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</si>
  <si>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</si>
  <si>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</si>
  <si>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</si>
  <si>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</si>
  <si>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</si>
  <si>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</si>
  <si>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</si>
  <si>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</si>
  <si>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</si>
  <si>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</si>
  <si>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</si>
  <si>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 xml:space="preserve">FARMINGTON </t>
  </si>
  <si>
    <t>2/2013</t>
  </si>
  <si>
    <t>8/2018</t>
  </si>
  <si>
    <t>3/2017</t>
  </si>
  <si>
    <t>3/2020</t>
  </si>
  <si>
    <t>Adjustment for loss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</si>
</sst>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175</v>
      </c>
      <c r="C2" s="21">
        <v>175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2491838.4300000002</v>
      </c>
      <c r="G9" s="18">
        <v>32317.24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>
        <v>62750.9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1548637.86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>
        <v>16383.98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32859.019999999997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2870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2494708.4300000002</v>
      </c>
      <c r="G19" s="41">
        <f>SUM(G9:G18)</f>
        <v>65176.259999999995</v>
      </c>
      <c r="H19" s="41">
        <f>SUM(H9:H18)</f>
        <v>79134.880000000005</v>
      </c>
      <c r="I19" s="41">
        <f>SUM(I9:I18)</f>
        <v>0</v>
      </c>
      <c r="J19" s="41">
        <f>SUM(J9:J18)</f>
        <v>1548637.86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585100.77</v>
      </c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75507.289999999994</v>
      </c>
      <c r="G24" s="18">
        <v>56396.99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129000</v>
      </c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423750.71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721844.68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1935203.4500000002</v>
      </c>
      <c r="G32" s="41">
        <f>SUM(G22:G31)</f>
        <v>56396.99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8779.27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100000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174062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79134.880000000005</v>
      </c>
      <c r="I48" s="18"/>
      <c r="J48" s="13">
        <f>SUM(I459)</f>
        <v>1548637.86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112137.32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173305.66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559504.98</v>
      </c>
      <c r="G51" s="41">
        <f>SUM(G35:G50)</f>
        <v>8779.27</v>
      </c>
      <c r="H51" s="41">
        <f>SUM(H35:H50)</f>
        <v>79134.880000000005</v>
      </c>
      <c r="I51" s="41">
        <f>SUM(I35:I50)</f>
        <v>0</v>
      </c>
      <c r="J51" s="41">
        <f>SUM(J35:J50)</f>
        <v>1548637.86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2494708.4300000002</v>
      </c>
      <c r="G52" s="41">
        <f>G51+G32</f>
        <v>65176.259999999995</v>
      </c>
      <c r="H52" s="41">
        <f>H51+H32</f>
        <v>79134.880000000005</v>
      </c>
      <c r="I52" s="41">
        <f>I51+I32</f>
        <v>0</v>
      </c>
      <c r="J52" s="41">
        <f>J51+J32</f>
        <v>1548637.86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5915088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5915088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9100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875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f>23022.34+22410</f>
        <v>45432.34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55407.34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>
        <v>8268.7800000000007</v>
      </c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8268.7800000000007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126712.74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>
        <v>3622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175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1589</v>
      </c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4156.0600000000004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40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5960.06</v>
      </c>
      <c r="G111" s="41">
        <f>SUM(G96:G110)</f>
        <v>126712.74</v>
      </c>
      <c r="H111" s="41">
        <f>SUM(H96:H110)</f>
        <v>3622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5984724.1799999997</v>
      </c>
      <c r="G112" s="41">
        <f>G60+G111</f>
        <v>126712.74</v>
      </c>
      <c r="H112" s="41">
        <f>H60+H79+H94+H111</f>
        <v>3622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6093603.1900000004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1047418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7141021.1900000004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131023.38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16224.8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6436.93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147248.18</v>
      </c>
      <c r="G136" s="41">
        <f>SUM(G123:G135)</f>
        <v>6436.93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>
        <v>48723.58</v>
      </c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7288269.3700000001</v>
      </c>
      <c r="G140" s="41">
        <f>G121+SUM(G136:G137)</f>
        <v>6436.93</v>
      </c>
      <c r="H140" s="41">
        <f>H121+SUM(H136:H139)</f>
        <v>48723.58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>
        <v>40480.339999999997</v>
      </c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40480.339999999997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153526.98000000001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145471.94+297031.02</f>
        <v>442502.96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188889.5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216111.12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266405.7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141828.72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28143.040000000001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141828.72</v>
      </c>
      <c r="G162" s="41">
        <f>SUM(G150:G161)</f>
        <v>216111.12</v>
      </c>
      <c r="H162" s="41">
        <f>SUM(H150:H161)</f>
        <v>1079468.1800000002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182309.06</v>
      </c>
      <c r="G169" s="41">
        <f>G147+G162+SUM(G163:G168)</f>
        <v>216111.12</v>
      </c>
      <c r="H169" s="41">
        <f>H147+H162+SUM(H163:H168)</f>
        <v>1079468.1800000002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129000</v>
      </c>
      <c r="H179" s="18"/>
      <c r="I179" s="18"/>
      <c r="J179" s="18">
        <v>50000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129000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129000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13455302.610000001</v>
      </c>
      <c r="G193" s="47">
        <f>G112+G140+G169+G192</f>
        <v>478260.79000000004</v>
      </c>
      <c r="H193" s="47">
        <f>H112+H140+H169+H192</f>
        <v>1131813.7600000002</v>
      </c>
      <c r="I193" s="47">
        <f>I112+I140+I169+I192</f>
        <v>0</v>
      </c>
      <c r="J193" s="47">
        <f>J112+J140+J192</f>
        <v>50000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2169488.15+27299.39</f>
        <v>2196787.54</v>
      </c>
      <c r="G197" s="18">
        <f>1010848.84+6027.57</f>
        <v>1016876.4099999999</v>
      </c>
      <c r="H197" s="18">
        <f>22071.29</f>
        <v>22071.29</v>
      </c>
      <c r="I197" s="18">
        <v>36787.26</v>
      </c>
      <c r="J197" s="18">
        <v>3746.57</v>
      </c>
      <c r="K197" s="18"/>
      <c r="L197" s="19">
        <f>SUM(F197:K197)</f>
        <v>3276269.07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1129516.21+639</f>
        <v>1130155.21</v>
      </c>
      <c r="G198" s="18">
        <f>315121.76+149.01</f>
        <v>315270.77</v>
      </c>
      <c r="H198" s="18">
        <f>408399.27+35448.92</f>
        <v>443848.19</v>
      </c>
      <c r="I198" s="18">
        <f>5006.21+5237.25</f>
        <v>10243.459999999999</v>
      </c>
      <c r="J198" s="18">
        <v>4887.8900000000003</v>
      </c>
      <c r="K198" s="18">
        <v>18689.79</v>
      </c>
      <c r="L198" s="19">
        <f>SUM(F198:K198)</f>
        <v>1923095.3099999998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12555+5786+1984</f>
        <v>20325</v>
      </c>
      <c r="G200" s="18">
        <f>2808.95+1284.74+183.18+28.61</f>
        <v>4305.4799999999996</v>
      </c>
      <c r="H200" s="18">
        <f>1083.4+3624.42</f>
        <v>4707.82</v>
      </c>
      <c r="I200" s="18">
        <f>352.5+4272.82+532.5</f>
        <v>5157.82</v>
      </c>
      <c r="J200" s="18"/>
      <c r="K200" s="18"/>
      <c r="L200" s="19">
        <f>SUM(F200:K200)</f>
        <v>34496.119999999995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133387.49+112027.86+224645.66</f>
        <v>470061.01</v>
      </c>
      <c r="G202" s="18">
        <f>56766.62+51094.92+84695.01</f>
        <v>192556.55</v>
      </c>
      <c r="H202" s="18">
        <f>250+82997.14</f>
        <v>83247.14</v>
      </c>
      <c r="I202" s="18">
        <f>838.26+643.4+3013.34</f>
        <v>4495</v>
      </c>
      <c r="J202" s="18"/>
      <c r="K202" s="18">
        <v>202.37</v>
      </c>
      <c r="L202" s="19">
        <f t="shared" ref="L202:L208" si="0">SUM(F202:K202)</f>
        <v>750562.07000000007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103729.75</v>
      </c>
      <c r="G203" s="18">
        <f>13810+40651.08</f>
        <v>54461.08</v>
      </c>
      <c r="H203" s="18">
        <f>11020.1+1087.29+2064.43</f>
        <v>14171.82</v>
      </c>
      <c r="I203" s="18">
        <f>6687.08+8856.36</f>
        <v>15543.44</v>
      </c>
      <c r="J203" s="18"/>
      <c r="K203" s="18"/>
      <c r="L203" s="19">
        <f t="shared" si="0"/>
        <v>187906.09000000003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374815.65</v>
      </c>
      <c r="G204" s="18">
        <v>173274.09</v>
      </c>
      <c r="H204" s="18">
        <v>50477.84</v>
      </c>
      <c r="I204" s="18"/>
      <c r="J204" s="18"/>
      <c r="K204" s="18">
        <v>1948.24</v>
      </c>
      <c r="L204" s="19">
        <f t="shared" si="0"/>
        <v>600515.81999999995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431944.93+5211.93</f>
        <v>437156.86</v>
      </c>
      <c r="G205" s="18">
        <f>169825.8+1215.27</f>
        <v>171041.06999999998</v>
      </c>
      <c r="H205" s="18">
        <v>30544.74</v>
      </c>
      <c r="I205" s="18">
        <v>1509.09</v>
      </c>
      <c r="J205" s="18">
        <v>2139.7399999999998</v>
      </c>
      <c r="K205" s="18">
        <v>2355</v>
      </c>
      <c r="L205" s="19">
        <f t="shared" si="0"/>
        <v>644746.49999999988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>
        <v>2808.05</v>
      </c>
      <c r="H206" s="18">
        <v>17192.080000000002</v>
      </c>
      <c r="I206" s="18">
        <v>4662.88</v>
      </c>
      <c r="J206" s="18"/>
      <c r="K206" s="18">
        <v>87.74</v>
      </c>
      <c r="L206" s="19">
        <f t="shared" si="0"/>
        <v>24750.750000000004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233024.23+91613.02</f>
        <v>324637.25</v>
      </c>
      <c r="G207" s="18">
        <f>129366.64+39264.24</f>
        <v>168630.88</v>
      </c>
      <c r="H207" s="18">
        <f>121756.33+157176.41</f>
        <v>278932.74</v>
      </c>
      <c r="I207" s="18">
        <f>160085.7+14543.41</f>
        <v>174629.11000000002</v>
      </c>
      <c r="J207" s="18">
        <v>36973.18</v>
      </c>
      <c r="K207" s="18">
        <v>63.9</v>
      </c>
      <c r="L207" s="19">
        <f t="shared" si="0"/>
        <v>983867.06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f>2279.25+141157.16</f>
        <v>143436.41</v>
      </c>
      <c r="G208" s="18">
        <f>299.9+46863.11</f>
        <v>47163.01</v>
      </c>
      <c r="H208" s="18">
        <v>98673.76</v>
      </c>
      <c r="I208" s="18">
        <v>20149.490000000002</v>
      </c>
      <c r="J208" s="18">
        <v>1674.25</v>
      </c>
      <c r="K208" s="18">
        <v>975.54</v>
      </c>
      <c r="L208" s="19">
        <f t="shared" si="0"/>
        <v>312072.45999999996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74625.17</v>
      </c>
      <c r="G209" s="18">
        <v>73076.929999999993</v>
      </c>
      <c r="H209" s="18">
        <v>14407.06</v>
      </c>
      <c r="I209" s="18">
        <v>32795.06</v>
      </c>
      <c r="J209" s="18">
        <v>56693.08</v>
      </c>
      <c r="K209" s="18"/>
      <c r="L209" s="19">
        <f>SUM(F209:K209)</f>
        <v>251597.3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5275729.8500000006</v>
      </c>
      <c r="G211" s="41">
        <f t="shared" si="1"/>
        <v>2219464.3200000003</v>
      </c>
      <c r="H211" s="41">
        <f t="shared" si="1"/>
        <v>1058274.4799999997</v>
      </c>
      <c r="I211" s="41">
        <f t="shared" si="1"/>
        <v>305972.61</v>
      </c>
      <c r="J211" s="41">
        <f t="shared" si="1"/>
        <v>106114.71</v>
      </c>
      <c r="K211" s="41">
        <f t="shared" si="1"/>
        <v>24322.580000000005</v>
      </c>
      <c r="L211" s="41">
        <f t="shared" si="1"/>
        <v>8989878.5500000007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1125184.91+11150.46</f>
        <v>1136335.3699999999</v>
      </c>
      <c r="G233" s="18">
        <f>474222.67+2461.96</f>
        <v>476684.63</v>
      </c>
      <c r="H233" s="18">
        <v>11307.19</v>
      </c>
      <c r="I233" s="18">
        <v>20903.93</v>
      </c>
      <c r="J233" s="18">
        <v>149.83000000000001</v>
      </c>
      <c r="K233" s="18"/>
      <c r="L233" s="19">
        <f>SUM(F233:K233)</f>
        <v>1645380.95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265585.1+261</f>
        <v>265846.09999999998</v>
      </c>
      <c r="G234" s="18">
        <f>91767.55+60.87</f>
        <v>91828.42</v>
      </c>
      <c r="H234" s="18">
        <f>488126.24+14479.14</f>
        <v>502605.38</v>
      </c>
      <c r="I234" s="18">
        <f>1328.69+2139.16</f>
        <v>3467.85</v>
      </c>
      <c r="J234" s="18">
        <v>431.9</v>
      </c>
      <c r="K234" s="18">
        <v>7633.86</v>
      </c>
      <c r="L234" s="19">
        <f>SUM(F234:K234)</f>
        <v>871813.50999999989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143888.26999999999</v>
      </c>
      <c r="I235" s="18"/>
      <c r="J235" s="18"/>
      <c r="K235" s="18"/>
      <c r="L235" s="19">
        <f>SUM(F235:K235)</f>
        <v>143888.26999999999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41070.25</v>
      </c>
      <c r="G236" s="18">
        <f>5891.7+11.69</f>
        <v>5903.3899999999994</v>
      </c>
      <c r="H236" s="18">
        <v>20431.09</v>
      </c>
      <c r="I236" s="18">
        <f>5786.66+217.5</f>
        <v>6004.16</v>
      </c>
      <c r="J236" s="18">
        <v>7510.63</v>
      </c>
      <c r="K236" s="18">
        <v>3100</v>
      </c>
      <c r="L236" s="19">
        <f>SUM(F236:K236)</f>
        <v>84019.520000000004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171505.09+91756.68</f>
        <v>263261.77</v>
      </c>
      <c r="G238" s="18">
        <f>83291+34593.74</f>
        <v>117884.73999999999</v>
      </c>
      <c r="H238" s="18">
        <f>3454.7+33900.24</f>
        <v>37354.939999999995</v>
      </c>
      <c r="I238" s="18">
        <f>1736.33+1230.8</f>
        <v>2967.13</v>
      </c>
      <c r="J238" s="18">
        <v>43.25</v>
      </c>
      <c r="K238" s="18">
        <v>440.63</v>
      </c>
      <c r="L238" s="19">
        <f t="shared" ref="L238:L244" si="4">SUM(F238:K238)</f>
        <v>421952.46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56140</v>
      </c>
      <c r="G239" s="18">
        <f>1235+22171.54</f>
        <v>23406.54</v>
      </c>
      <c r="H239" s="18">
        <f>6026.39+877.23</f>
        <v>6903.6200000000008</v>
      </c>
      <c r="I239" s="18">
        <f>6578.85+3617.39</f>
        <v>10196.24</v>
      </c>
      <c r="J239" s="18"/>
      <c r="K239" s="18">
        <v>175</v>
      </c>
      <c r="L239" s="19">
        <f t="shared" si="4"/>
        <v>96821.400000000009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153093.72</v>
      </c>
      <c r="G240" s="18">
        <v>70773.929999999993</v>
      </c>
      <c r="H240" s="18">
        <v>20617.71</v>
      </c>
      <c r="I240" s="18"/>
      <c r="J240" s="18"/>
      <c r="K240" s="18">
        <v>795.76</v>
      </c>
      <c r="L240" s="19">
        <f t="shared" si="4"/>
        <v>245281.12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258827.76+2128.82</f>
        <v>260956.58000000002</v>
      </c>
      <c r="G241" s="18">
        <f>131720.1+496.38</f>
        <v>132216.48000000001</v>
      </c>
      <c r="H241" s="18">
        <v>10155.02</v>
      </c>
      <c r="I241" s="18">
        <v>1449.53</v>
      </c>
      <c r="J241" s="18">
        <v>224.95</v>
      </c>
      <c r="K241" s="18">
        <v>4950.54</v>
      </c>
      <c r="L241" s="19">
        <f t="shared" si="4"/>
        <v>409953.10000000009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>
        <v>1146.95</v>
      </c>
      <c r="H242" s="18">
        <v>7022.12</v>
      </c>
      <c r="I242" s="18">
        <v>1904.55</v>
      </c>
      <c r="J242" s="18"/>
      <c r="K242" s="18">
        <v>35.840000000000003</v>
      </c>
      <c r="L242" s="19">
        <f t="shared" si="4"/>
        <v>10109.459999999999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107125.93+37419.4</f>
        <v>144545.32999999999</v>
      </c>
      <c r="G243" s="18">
        <f>54945.97+16037.5</f>
        <v>70983.47</v>
      </c>
      <c r="H243" s="18">
        <f>76116.03+64198.81</f>
        <v>140314.84</v>
      </c>
      <c r="I243" s="18">
        <f>99131.29+5940.26</f>
        <v>105071.54999999999</v>
      </c>
      <c r="J243" s="18">
        <v>16761.64</v>
      </c>
      <c r="K243" s="18">
        <v>26.1</v>
      </c>
      <c r="L243" s="19">
        <f t="shared" si="4"/>
        <v>477702.93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f>31162.77+57655.74</f>
        <v>88818.51</v>
      </c>
      <c r="G244" s="18">
        <f>9900.2+19141.27</f>
        <v>29041.47</v>
      </c>
      <c r="H244" s="18">
        <v>40303.360000000001</v>
      </c>
      <c r="I244" s="18">
        <v>8230.08</v>
      </c>
      <c r="J244" s="18">
        <v>683.85</v>
      </c>
      <c r="K244" s="18">
        <v>398.46</v>
      </c>
      <c r="L244" s="19">
        <f t="shared" si="4"/>
        <v>167475.72999999998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30480.7</v>
      </c>
      <c r="G245" s="18">
        <v>29848.32</v>
      </c>
      <c r="H245" s="18">
        <v>5884.58</v>
      </c>
      <c r="I245" s="18">
        <v>13395.17</v>
      </c>
      <c r="J245" s="18">
        <v>23156.33</v>
      </c>
      <c r="K245" s="18"/>
      <c r="L245" s="19">
        <f>SUM(F245:K245)</f>
        <v>102765.1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2440548.3299999996</v>
      </c>
      <c r="G247" s="41">
        <f t="shared" si="5"/>
        <v>1049718.3400000001</v>
      </c>
      <c r="H247" s="41">
        <f t="shared" si="5"/>
        <v>946788.11999999976</v>
      </c>
      <c r="I247" s="41">
        <f t="shared" si="5"/>
        <v>173590.19</v>
      </c>
      <c r="J247" s="41">
        <f t="shared" si="5"/>
        <v>48962.380000000005</v>
      </c>
      <c r="K247" s="41">
        <f t="shared" si="5"/>
        <v>17556.189999999999</v>
      </c>
      <c r="L247" s="41">
        <f t="shared" si="5"/>
        <v>4677163.5499999989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7716278.1799999997</v>
      </c>
      <c r="G257" s="41">
        <f t="shared" si="8"/>
        <v>3269182.66</v>
      </c>
      <c r="H257" s="41">
        <f t="shared" si="8"/>
        <v>2005062.5999999996</v>
      </c>
      <c r="I257" s="41">
        <f t="shared" si="8"/>
        <v>479562.8</v>
      </c>
      <c r="J257" s="41">
        <f t="shared" si="8"/>
        <v>155077.09000000003</v>
      </c>
      <c r="K257" s="41">
        <f t="shared" si="8"/>
        <v>41878.770000000004</v>
      </c>
      <c r="L257" s="41">
        <f t="shared" si="8"/>
        <v>13667042.1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129000</v>
      </c>
      <c r="L263" s="19">
        <f>SUM(F263:K263)</f>
        <v>129000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179000</v>
      </c>
      <c r="L270" s="41">
        <f t="shared" si="9"/>
        <v>179000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7716278.1799999997</v>
      </c>
      <c r="G271" s="42">
        <f t="shared" si="11"/>
        <v>3269182.66</v>
      </c>
      <c r="H271" s="42">
        <f t="shared" si="11"/>
        <v>2005062.5999999996</v>
      </c>
      <c r="I271" s="42">
        <f t="shared" si="11"/>
        <v>479562.8</v>
      </c>
      <c r="J271" s="42">
        <f t="shared" si="11"/>
        <v>155077.09000000003</v>
      </c>
      <c r="K271" s="42">
        <f t="shared" si="11"/>
        <v>220878.77000000002</v>
      </c>
      <c r="L271" s="42">
        <f t="shared" si="11"/>
        <v>13846042.1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37929.31+310680.71</f>
        <v>348610.02</v>
      </c>
      <c r="G276" s="18">
        <f>3931.75+97104.49</f>
        <v>101036.24</v>
      </c>
      <c r="H276" s="18">
        <v>2730</v>
      </c>
      <c r="I276" s="18">
        <f>1279.79+4034.92</f>
        <v>5314.71</v>
      </c>
      <c r="J276" s="18">
        <v>38376.129999999997</v>
      </c>
      <c r="K276" s="18"/>
      <c r="L276" s="19">
        <f>SUM(F276:K276)</f>
        <v>496067.10000000003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16690.009999999998</v>
      </c>
      <c r="G277" s="18">
        <v>1278.93</v>
      </c>
      <c r="H277" s="18"/>
      <c r="I277" s="18">
        <v>268.95</v>
      </c>
      <c r="J277" s="18">
        <f>2655.4+3639.95+807.26</f>
        <v>7102.6100000000006</v>
      </c>
      <c r="K277" s="18"/>
      <c r="L277" s="19">
        <f>SUM(F277:K277)</f>
        <v>25340.5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f>14208.32+27506.5</f>
        <v>41714.82</v>
      </c>
      <c r="G279" s="18">
        <f>1258.09+5910.59</f>
        <v>7168.68</v>
      </c>
      <c r="H279" s="18"/>
      <c r="I279" s="18"/>
      <c r="J279" s="18"/>
      <c r="K279" s="18"/>
      <c r="L279" s="19">
        <f>SUM(F279:K279)</f>
        <v>48883.5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16940.95</v>
      </c>
      <c r="G281" s="18">
        <f>6011.78</f>
        <v>6011.78</v>
      </c>
      <c r="H281" s="18">
        <f>936.49</f>
        <v>936.49</v>
      </c>
      <c r="I281" s="18">
        <f>2847.8+21436.43</f>
        <v>24284.23</v>
      </c>
      <c r="J281" s="18"/>
      <c r="K281" s="18">
        <v>273.36</v>
      </c>
      <c r="L281" s="19">
        <f t="shared" ref="L281:L287" si="12">SUM(F281:K281)</f>
        <v>48446.81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65825.17+8250+300</f>
        <v>74375.17</v>
      </c>
      <c r="G282" s="18">
        <f>11312.12+2009.71+73.08</f>
        <v>13394.910000000002</v>
      </c>
      <c r="H282" s="18">
        <f>44651.82+10966.23+4057.7+285.3</f>
        <v>59961.05</v>
      </c>
      <c r="I282" s="18">
        <f>5743.84+1353.92</f>
        <v>7097.76</v>
      </c>
      <c r="J282" s="18">
        <v>5375.78</v>
      </c>
      <c r="K282" s="18">
        <v>3013.95</v>
      </c>
      <c r="L282" s="19">
        <f t="shared" si="12"/>
        <v>163218.62000000002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>
        <f>28372.31+3190</f>
        <v>31562.31</v>
      </c>
      <c r="I283" s="18"/>
      <c r="J283" s="18"/>
      <c r="K283" s="18"/>
      <c r="L283" s="19">
        <f t="shared" si="12"/>
        <v>31562.31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>
        <v>917.01</v>
      </c>
      <c r="I285" s="18"/>
      <c r="J285" s="18"/>
      <c r="K285" s="18"/>
      <c r="L285" s="19">
        <f t="shared" si="12"/>
        <v>917.01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3146.63</v>
      </c>
      <c r="G287" s="18">
        <v>284.75</v>
      </c>
      <c r="H287" s="18">
        <v>360.11</v>
      </c>
      <c r="I287" s="18"/>
      <c r="J287" s="18"/>
      <c r="K287" s="18"/>
      <c r="L287" s="19">
        <f t="shared" si="12"/>
        <v>3791.4900000000002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501477.60000000003</v>
      </c>
      <c r="G290" s="42">
        <f t="shared" si="13"/>
        <v>129175.29000000001</v>
      </c>
      <c r="H290" s="42">
        <f t="shared" si="13"/>
        <v>96466.97</v>
      </c>
      <c r="I290" s="42">
        <f t="shared" si="13"/>
        <v>36965.65</v>
      </c>
      <c r="J290" s="42">
        <f t="shared" si="13"/>
        <v>50854.52</v>
      </c>
      <c r="K290" s="42">
        <f t="shared" si="13"/>
        <v>3287.31</v>
      </c>
      <c r="L290" s="41">
        <f t="shared" si="13"/>
        <v>818227.3400000002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f>15492.26+260</f>
        <v>15752.26</v>
      </c>
      <c r="G314" s="18">
        <f>1605.93+19.89</f>
        <v>1625.8200000000002</v>
      </c>
      <c r="H314" s="18"/>
      <c r="I314" s="18">
        <v>522.73</v>
      </c>
      <c r="J314" s="18">
        <f>1084.6+45024.82</f>
        <v>46109.42</v>
      </c>
      <c r="K314" s="18"/>
      <c r="L314" s="19">
        <f>SUM(F314:K314)</f>
        <v>64010.229999999996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20766.52</v>
      </c>
      <c r="G315" s="18">
        <v>1622.36</v>
      </c>
      <c r="H315" s="18"/>
      <c r="I315" s="18"/>
      <c r="J315" s="18"/>
      <c r="K315" s="18"/>
      <c r="L315" s="19">
        <f>SUM(F315:K315)</f>
        <v>22388.880000000001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5803.4</v>
      </c>
      <c r="G317" s="18">
        <v>513.87</v>
      </c>
      <c r="H317" s="18"/>
      <c r="I317" s="18"/>
      <c r="J317" s="18"/>
      <c r="K317" s="18"/>
      <c r="L317" s="19">
        <f>SUM(F317:K317)</f>
        <v>6317.2699999999995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6919.54</v>
      </c>
      <c r="G319" s="18">
        <v>2455.52</v>
      </c>
      <c r="H319" s="18">
        <v>382.51</v>
      </c>
      <c r="I319" s="18">
        <f>1163.19+13441.08</f>
        <v>14604.27</v>
      </c>
      <c r="J319" s="18"/>
      <c r="K319" s="18">
        <v>111.64</v>
      </c>
      <c r="L319" s="19">
        <f t="shared" ref="L319:L325" si="16">SUM(F319:K319)</f>
        <v>24473.48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f>26886.34+8033</f>
        <v>34919.339999999997</v>
      </c>
      <c r="G320" s="18">
        <f>4620.44+1925.55</f>
        <v>6545.99</v>
      </c>
      <c r="H320" s="18">
        <f>18238.07+10275.39</f>
        <v>28513.46</v>
      </c>
      <c r="I320" s="18">
        <f>2346.07+1685.92</f>
        <v>4031.9900000000002</v>
      </c>
      <c r="J320" s="18">
        <v>453.92</v>
      </c>
      <c r="K320" s="18">
        <v>1231.04</v>
      </c>
      <c r="L320" s="19">
        <f t="shared" si="16"/>
        <v>75695.739999999991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60495.39</v>
      </c>
      <c r="G321" s="18">
        <v>29515.47</v>
      </c>
      <c r="H321" s="18">
        <v>11588.69</v>
      </c>
      <c r="I321" s="18"/>
      <c r="J321" s="18"/>
      <c r="K321" s="18"/>
      <c r="L321" s="19">
        <f t="shared" si="16"/>
        <v>101599.55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>
        <v>1168.6500000000001</v>
      </c>
      <c r="I323" s="18"/>
      <c r="J323" s="18"/>
      <c r="K323" s="18"/>
      <c r="L323" s="19">
        <f t="shared" si="16"/>
        <v>1168.6500000000001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>
        <v>1285.24</v>
      </c>
      <c r="G325" s="18">
        <v>116.31</v>
      </c>
      <c r="H325" s="18">
        <v>147.09</v>
      </c>
      <c r="I325" s="18"/>
      <c r="J325" s="18"/>
      <c r="K325" s="18"/>
      <c r="L325" s="19">
        <f t="shared" si="16"/>
        <v>1548.6399999999999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145941.69</v>
      </c>
      <c r="G328" s="42">
        <f t="shared" si="17"/>
        <v>42395.34</v>
      </c>
      <c r="H328" s="42">
        <f t="shared" si="17"/>
        <v>41800.399999999994</v>
      </c>
      <c r="I328" s="42">
        <f t="shared" si="17"/>
        <v>19158.990000000002</v>
      </c>
      <c r="J328" s="42">
        <f t="shared" si="17"/>
        <v>46563.34</v>
      </c>
      <c r="K328" s="42">
        <f t="shared" si="17"/>
        <v>1342.68</v>
      </c>
      <c r="L328" s="41">
        <f t="shared" si="17"/>
        <v>297202.44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647419.29</v>
      </c>
      <c r="G338" s="41">
        <f t="shared" si="20"/>
        <v>171570.63</v>
      </c>
      <c r="H338" s="41">
        <f t="shared" si="20"/>
        <v>138267.37</v>
      </c>
      <c r="I338" s="41">
        <f t="shared" si="20"/>
        <v>56124.639999999999</v>
      </c>
      <c r="J338" s="41">
        <f t="shared" si="20"/>
        <v>97417.859999999986</v>
      </c>
      <c r="K338" s="41">
        <f t="shared" si="20"/>
        <v>4629.99</v>
      </c>
      <c r="L338" s="41">
        <f t="shared" si="20"/>
        <v>1115429.7800000003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647419.29</v>
      </c>
      <c r="G352" s="41">
        <f>G338</f>
        <v>171570.63</v>
      </c>
      <c r="H352" s="41">
        <f>H338</f>
        <v>138267.37</v>
      </c>
      <c r="I352" s="41">
        <f>I338</f>
        <v>56124.639999999999</v>
      </c>
      <c r="J352" s="41">
        <f>J338</f>
        <v>97417.859999999986</v>
      </c>
      <c r="K352" s="47">
        <f>K338+K351</f>
        <v>4629.99</v>
      </c>
      <c r="L352" s="41">
        <f>L338+L351</f>
        <v>1115429.7800000003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103088.65</v>
      </c>
      <c r="G358" s="18">
        <v>58349.37</v>
      </c>
      <c r="H358" s="18">
        <v>64487.53</v>
      </c>
      <c r="I358" s="18">
        <v>107406.31</v>
      </c>
      <c r="J358" s="18"/>
      <c r="K358" s="18"/>
      <c r="L358" s="13">
        <f>SUM(F358:K358)</f>
        <v>333331.86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42106.64</v>
      </c>
      <c r="G360" s="18">
        <v>23832.84</v>
      </c>
      <c r="H360" s="18">
        <v>26339.99</v>
      </c>
      <c r="I360" s="18">
        <v>43870.19</v>
      </c>
      <c r="J360" s="18"/>
      <c r="K360" s="18"/>
      <c r="L360" s="19">
        <f>SUM(F360:K360)</f>
        <v>136149.66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145195.28999999998</v>
      </c>
      <c r="G362" s="47">
        <f t="shared" si="22"/>
        <v>82182.210000000006</v>
      </c>
      <c r="H362" s="47">
        <f t="shared" si="22"/>
        <v>90827.520000000004</v>
      </c>
      <c r="I362" s="47">
        <f t="shared" si="22"/>
        <v>151276.5</v>
      </c>
      <c r="J362" s="47">
        <f t="shared" si="22"/>
        <v>0</v>
      </c>
      <c r="K362" s="47">
        <f t="shared" si="22"/>
        <v>0</v>
      </c>
      <c r="L362" s="47">
        <f t="shared" si="22"/>
        <v>469481.52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99958.6</v>
      </c>
      <c r="G367" s="18"/>
      <c r="H367" s="18">
        <v>40828.160000000003</v>
      </c>
      <c r="I367" s="56">
        <f>SUM(F367:H367)</f>
        <v>140786.76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7447.71</v>
      </c>
      <c r="G368" s="63"/>
      <c r="H368" s="63">
        <v>3042.03</v>
      </c>
      <c r="I368" s="56">
        <f>SUM(F368:H368)</f>
        <v>10489.74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107406.31000000001</v>
      </c>
      <c r="G369" s="47">
        <f>SUM(G367:G368)</f>
        <v>0</v>
      </c>
      <c r="H369" s="47">
        <f>SUM(H367:H368)</f>
        <v>43870.19</v>
      </c>
      <c r="I369" s="47">
        <f>SUM(I367:I368)</f>
        <v>151276.5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50000</v>
      </c>
      <c r="H396" s="18"/>
      <c r="I396" s="18"/>
      <c r="J396" s="24" t="s">
        <v>288</v>
      </c>
      <c r="K396" s="24" t="s">
        <v>288</v>
      </c>
      <c r="L396" s="56">
        <f t="shared" si="26"/>
        <v>50000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50000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1292256.54</v>
      </c>
      <c r="G442" s="18">
        <v>256381.32</v>
      </c>
      <c r="H442" s="18"/>
      <c r="I442" s="56">
        <f t="shared" si="33"/>
        <v>1548637.86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1292256.54</v>
      </c>
      <c r="G446" s="13">
        <f>SUM(G439:G445)</f>
        <v>256381.32</v>
      </c>
      <c r="H446" s="13">
        <f>SUM(H439:H445)</f>
        <v>0</v>
      </c>
      <c r="I446" s="13">
        <f>SUM(I439:I445)</f>
        <v>1548637.86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1292256.54</v>
      </c>
      <c r="G459" s="18">
        <v>256381.32</v>
      </c>
      <c r="H459" s="18"/>
      <c r="I459" s="56">
        <f t="shared" si="34"/>
        <v>1548637.86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1292256.54</v>
      </c>
      <c r="G460" s="83">
        <f>SUM(G454:G459)</f>
        <v>256381.32</v>
      </c>
      <c r="H460" s="83">
        <f>SUM(H454:H459)</f>
        <v>0</v>
      </c>
      <c r="I460" s="83">
        <f>SUM(I454:I459)</f>
        <v>1548637.86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1292256.54</v>
      </c>
      <c r="G461" s="42">
        <f>G452+G460</f>
        <v>256381.32</v>
      </c>
      <c r="H461" s="42">
        <f>H452+H460</f>
        <v>0</v>
      </c>
      <c r="I461" s="42">
        <f>I452+I460</f>
        <v>1548637.86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887870.07</v>
      </c>
      <c r="G465" s="18"/>
      <c r="H465" s="18">
        <v>62750.9</v>
      </c>
      <c r="I465" s="18"/>
      <c r="J465" s="18">
        <v>1498637.86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13455302.609999999</v>
      </c>
      <c r="G468" s="18">
        <v>478260.79</v>
      </c>
      <c r="H468" s="18">
        <v>1131813.76</v>
      </c>
      <c r="I468" s="18"/>
      <c r="J468" s="18">
        <v>50000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62374.400000000001</v>
      </c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13517677.01</v>
      </c>
      <c r="G470" s="53">
        <f>SUM(G468:G469)</f>
        <v>478260.79</v>
      </c>
      <c r="H470" s="53">
        <f>SUM(H468:H469)</f>
        <v>1131813.76</v>
      </c>
      <c r="I470" s="53">
        <f>SUM(I468:I469)</f>
        <v>0</v>
      </c>
      <c r="J470" s="53">
        <f>SUM(J468:J469)</f>
        <v>50000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13846042.1</v>
      </c>
      <c r="G472" s="18">
        <v>469481.52</v>
      </c>
      <c r="H472" s="18">
        <v>1115429.78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13846042.1</v>
      </c>
      <c r="G474" s="53">
        <f>SUM(G472:G473)</f>
        <v>469481.52</v>
      </c>
      <c r="H474" s="53">
        <f>SUM(H472:H473)</f>
        <v>1115429.78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559504.98000000045</v>
      </c>
      <c r="G476" s="53">
        <f>(G465+G470)- G474</f>
        <v>8779.2699999999604</v>
      </c>
      <c r="H476" s="53">
        <f>(H465+H470)- H474</f>
        <v>79134.879999999888</v>
      </c>
      <c r="I476" s="53">
        <f>(I465+I470)- I474</f>
        <v>0</v>
      </c>
      <c r="J476" s="53">
        <f>(J465+J470)- J474</f>
        <v>1548637.86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917</v>
      </c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5</v>
      </c>
      <c r="G490" s="154">
        <v>4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 t="s">
        <v>915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 t="s">
        <v>916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194488.72</v>
      </c>
      <c r="G493" s="18">
        <v>75349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2.68</v>
      </c>
      <c r="G494" s="18">
        <v>2.2719999999999998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79829.86</v>
      </c>
      <c r="G495" s="18">
        <v>57141.93</v>
      </c>
      <c r="H495" s="18"/>
      <c r="I495" s="18"/>
      <c r="J495" s="18"/>
      <c r="K495" s="53">
        <f>SUM(F495:J495)</f>
        <v>136971.79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0</v>
      </c>
      <c r="G497" s="18">
        <v>0</v>
      </c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40442.730000000003</v>
      </c>
      <c r="G498" s="204">
        <v>57141.93</v>
      </c>
      <c r="H498" s="204"/>
      <c r="I498" s="204"/>
      <c r="J498" s="204"/>
      <c r="K498" s="205">
        <f t="shared" si="35"/>
        <v>97584.66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1083.8399999999999</v>
      </c>
      <c r="G499" s="18">
        <v>2615.9899999999998</v>
      </c>
      <c r="H499" s="18"/>
      <c r="I499" s="18"/>
      <c r="J499" s="18"/>
      <c r="K499" s="53">
        <f t="shared" si="35"/>
        <v>3699.83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41526.57</v>
      </c>
      <c r="G500" s="42">
        <f>SUM(G498:G499)</f>
        <v>59757.919999999998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101284.48999999999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40442.730000000003</v>
      </c>
      <c r="G501" s="204">
        <v>18620.740000000002</v>
      </c>
      <c r="H501" s="204"/>
      <c r="I501" s="204"/>
      <c r="J501" s="204"/>
      <c r="K501" s="205">
        <f t="shared" si="35"/>
        <v>59063.47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1083.8399999999999</v>
      </c>
      <c r="G502" s="18">
        <v>1298.26</v>
      </c>
      <c r="H502" s="18"/>
      <c r="I502" s="18"/>
      <c r="J502" s="18"/>
      <c r="K502" s="53">
        <f t="shared" si="35"/>
        <v>2382.1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41526.57</v>
      </c>
      <c r="G503" s="42">
        <f>SUM(G501:G502)</f>
        <v>19919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61445.57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639+625982.24+520223.98</f>
        <v>1146845.22</v>
      </c>
      <c r="G521" s="18">
        <f>149.01+171613.78+144786.91</f>
        <v>316549.7</v>
      </c>
      <c r="H521" s="18">
        <f>35381.51+40205.3+368193.97</f>
        <v>443780.77999999997</v>
      </c>
      <c r="I521" s="18">
        <f>1582.18+2409.12+2597.09</f>
        <v>6588.39</v>
      </c>
      <c r="J521" s="18">
        <f>2655.4+3774.95+4752.89</f>
        <v>11183.240000000002</v>
      </c>
      <c r="K521" s="18">
        <v>5002.28</v>
      </c>
      <c r="L521" s="88">
        <f>SUM(F521:K521)</f>
        <v>1929949.6099999999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261+286351.62</f>
        <v>286612.62</v>
      </c>
      <c r="G523" s="18">
        <f>60.87+93389.91</f>
        <v>93450.78</v>
      </c>
      <c r="H523" s="18">
        <f>14451.6+488126.24</f>
        <v>502577.83999999997</v>
      </c>
      <c r="I523" s="18">
        <f>646.24+1328.69</f>
        <v>1974.93</v>
      </c>
      <c r="J523" s="18">
        <f>1084.6+431.9</f>
        <v>1516.5</v>
      </c>
      <c r="K523" s="18">
        <v>2043.18</v>
      </c>
      <c r="L523" s="88">
        <f>SUM(F523:K523)</f>
        <v>888175.85000000009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1433457.8399999999</v>
      </c>
      <c r="G524" s="108">
        <f t="shared" ref="G524:L524" si="36">SUM(G521:G523)</f>
        <v>410000.48</v>
      </c>
      <c r="H524" s="108">
        <f t="shared" si="36"/>
        <v>946358.61999999988</v>
      </c>
      <c r="I524" s="108">
        <f t="shared" si="36"/>
        <v>8563.32</v>
      </c>
      <c r="J524" s="108">
        <f t="shared" si="36"/>
        <v>12699.740000000002</v>
      </c>
      <c r="K524" s="108">
        <f t="shared" si="36"/>
        <v>7045.46</v>
      </c>
      <c r="L524" s="89">
        <f t="shared" si="36"/>
        <v>2818125.46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224645.66+112027.86</f>
        <v>336673.52</v>
      </c>
      <c r="G526" s="18">
        <f>84695.01+51094.92</f>
        <v>135789.93</v>
      </c>
      <c r="H526" s="18">
        <f>18689.8+52919.64+250</f>
        <v>71859.44</v>
      </c>
      <c r="I526" s="18">
        <f>3013.34+643.4</f>
        <v>3656.7400000000002</v>
      </c>
      <c r="J526" s="18"/>
      <c r="K526" s="18">
        <v>202.35</v>
      </c>
      <c r="L526" s="88">
        <f>SUM(F526:K526)</f>
        <v>548181.98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91756.68+41037</f>
        <v>132793.68</v>
      </c>
      <c r="G528" s="18">
        <f>34593.74+12088.19</f>
        <v>46681.93</v>
      </c>
      <c r="H528" s="18">
        <f>7633.85+21615.07+185</f>
        <v>29433.919999999998</v>
      </c>
      <c r="I528" s="18">
        <f>1230.8+659.05</f>
        <v>1889.85</v>
      </c>
      <c r="J528" s="18">
        <v>43.25</v>
      </c>
      <c r="K528" s="18">
        <v>82.65</v>
      </c>
      <c r="L528" s="88">
        <f>SUM(F528:K528)</f>
        <v>210925.27999999997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469467.2</v>
      </c>
      <c r="G529" s="89">
        <f t="shared" ref="G529:L529" si="37">SUM(G526:G528)</f>
        <v>182471.86</v>
      </c>
      <c r="H529" s="89">
        <f t="shared" si="37"/>
        <v>101293.36</v>
      </c>
      <c r="I529" s="89">
        <f t="shared" si="37"/>
        <v>5546.59</v>
      </c>
      <c r="J529" s="89">
        <f t="shared" si="37"/>
        <v>43.25</v>
      </c>
      <c r="K529" s="89">
        <f t="shared" si="37"/>
        <v>285</v>
      </c>
      <c r="L529" s="89">
        <f t="shared" si="37"/>
        <v>759107.26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88881.88+710</f>
        <v>89591.88</v>
      </c>
      <c r="G531" s="18">
        <f>6799.46+12652.87+2030.57+30714.6</f>
        <v>52197.5</v>
      </c>
      <c r="H531" s="18"/>
      <c r="I531" s="18"/>
      <c r="J531" s="18"/>
      <c r="K531" s="18"/>
      <c r="L531" s="88">
        <f>SUM(F531:K531)</f>
        <v>141789.38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>36303.87+290</f>
        <v>36593.870000000003</v>
      </c>
      <c r="G533" s="18">
        <f>2777.25+5168.07+829.39+12545.4</f>
        <v>21320.11</v>
      </c>
      <c r="H533" s="18"/>
      <c r="I533" s="18"/>
      <c r="J533" s="18"/>
      <c r="K533" s="18"/>
      <c r="L533" s="88">
        <f>SUM(F533:K533)</f>
        <v>57913.98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126185.75</v>
      </c>
      <c r="G534" s="89">
        <f t="shared" ref="G534:L534" si="38">SUM(G531:G533)</f>
        <v>73517.61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199703.36000000002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287.58</v>
      </c>
      <c r="I536" s="18"/>
      <c r="J536" s="18"/>
      <c r="K536" s="18"/>
      <c r="L536" s="88">
        <f>SUM(F536:K536)</f>
        <v>287.58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117.46</v>
      </c>
      <c r="I538" s="18"/>
      <c r="J538" s="18"/>
      <c r="K538" s="18"/>
      <c r="L538" s="88">
        <f>SUM(F538:K538)</f>
        <v>117.46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405.03999999999996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405.03999999999996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53178.59</v>
      </c>
      <c r="G541" s="18">
        <v>15108.91</v>
      </c>
      <c r="H541" s="18">
        <v>7569.96</v>
      </c>
      <c r="I541" s="18"/>
      <c r="J541" s="18"/>
      <c r="K541" s="18"/>
      <c r="L541" s="88">
        <f>SUM(F541:K541)</f>
        <v>75857.460000000006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21720.83</v>
      </c>
      <c r="G543" s="18">
        <v>6171.24</v>
      </c>
      <c r="H543" s="18">
        <v>3091.96</v>
      </c>
      <c r="I543" s="18"/>
      <c r="J543" s="18"/>
      <c r="K543" s="18"/>
      <c r="L543" s="88">
        <f>SUM(F543:K543)</f>
        <v>30984.03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74899.42</v>
      </c>
      <c r="G544" s="193">
        <f t="shared" ref="G544:L544" si="40">SUM(G541:G543)</f>
        <v>21280.15</v>
      </c>
      <c r="H544" s="193">
        <f t="shared" si="40"/>
        <v>10661.92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106841.49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2104010.21</v>
      </c>
      <c r="G545" s="89">
        <f t="shared" ref="G545:L545" si="41">G524+G529+G534+G539+G544</f>
        <v>687270.1</v>
      </c>
      <c r="H545" s="89">
        <f t="shared" si="41"/>
        <v>1058718.94</v>
      </c>
      <c r="I545" s="89">
        <f t="shared" si="41"/>
        <v>14109.91</v>
      </c>
      <c r="J545" s="89">
        <f t="shared" si="41"/>
        <v>12742.990000000002</v>
      </c>
      <c r="K545" s="89">
        <f t="shared" si="41"/>
        <v>7330.46</v>
      </c>
      <c r="L545" s="89">
        <f t="shared" si="41"/>
        <v>3884182.61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1929949.6099999999</v>
      </c>
      <c r="G549" s="87">
        <f>L526</f>
        <v>548181.98</v>
      </c>
      <c r="H549" s="87">
        <f>L531</f>
        <v>141789.38</v>
      </c>
      <c r="I549" s="87">
        <f>L536</f>
        <v>287.58</v>
      </c>
      <c r="J549" s="87">
        <f>L541</f>
        <v>75857.460000000006</v>
      </c>
      <c r="K549" s="87">
        <f>SUM(F549:J549)</f>
        <v>2696066.01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888175.85000000009</v>
      </c>
      <c r="G551" s="87">
        <f>L528</f>
        <v>210925.27999999997</v>
      </c>
      <c r="H551" s="87">
        <f>L533</f>
        <v>57913.98</v>
      </c>
      <c r="I551" s="87">
        <f>L538</f>
        <v>117.46</v>
      </c>
      <c r="J551" s="87">
        <f>L543</f>
        <v>30984.03</v>
      </c>
      <c r="K551" s="87">
        <f>SUM(F551:J551)</f>
        <v>1188116.6000000001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2818125.46</v>
      </c>
      <c r="G552" s="89">
        <f t="shared" si="42"/>
        <v>759107.26</v>
      </c>
      <c r="H552" s="89">
        <f t="shared" si="42"/>
        <v>199703.36000000002</v>
      </c>
      <c r="I552" s="89">
        <f t="shared" si="42"/>
        <v>405.03999999999996</v>
      </c>
      <c r="J552" s="89">
        <f t="shared" si="42"/>
        <v>106841.49</v>
      </c>
      <c r="K552" s="89">
        <f t="shared" si="42"/>
        <v>3884182.61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114821.09</v>
      </c>
      <c r="I579" s="87">
        <f t="shared" si="47"/>
        <v>114821.09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f>34972.74+365790.51</f>
        <v>400763.25</v>
      </c>
      <c r="G582" s="18"/>
      <c r="H582" s="18">
        <v>337640.73</v>
      </c>
      <c r="I582" s="87">
        <f t="shared" si="47"/>
        <v>738403.98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143888.26999999999</v>
      </c>
      <c r="I584" s="87">
        <f t="shared" si="47"/>
        <v>143888.26999999999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189039.28</v>
      </c>
      <c r="I591" s="18"/>
      <c r="J591" s="18">
        <v>77213.23</v>
      </c>
      <c r="K591" s="104">
        <f t="shared" ref="K591:K597" si="48">SUM(H591:J591)</f>
        <v>266252.51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75857.460000000006</v>
      </c>
      <c r="I592" s="18"/>
      <c r="J592" s="18">
        <v>30984.03</v>
      </c>
      <c r="K592" s="104">
        <f t="shared" si="48"/>
        <v>106841.49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29873.86</v>
      </c>
      <c r="K593" s="104">
        <f t="shared" si="48"/>
        <v>29873.86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1625.81</v>
      </c>
      <c r="I594" s="18"/>
      <c r="J594" s="18">
        <v>8975.3799999999992</v>
      </c>
      <c r="K594" s="104">
        <f t="shared" si="48"/>
        <v>10601.189999999999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30.26+1135.61</f>
        <v>1165.8699999999999</v>
      </c>
      <c r="I595" s="18"/>
      <c r="J595" s="18">
        <f>12.36+2031.45</f>
        <v>2043.81</v>
      </c>
      <c r="K595" s="104">
        <f t="shared" si="48"/>
        <v>3209.68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3578.51</v>
      </c>
      <c r="I596" s="18"/>
      <c r="J596" s="18">
        <v>1461.64</v>
      </c>
      <c r="K596" s="104">
        <f t="shared" si="48"/>
        <v>5040.1500000000005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40805.53</v>
      </c>
      <c r="I597" s="18"/>
      <c r="J597" s="18">
        <v>16923.78</v>
      </c>
      <c r="K597" s="104">
        <f t="shared" si="48"/>
        <v>57729.31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312072.45999999996</v>
      </c>
      <c r="I598" s="108">
        <f>SUM(I591:I597)</f>
        <v>0</v>
      </c>
      <c r="J598" s="108">
        <f>SUM(J591:J597)</f>
        <v>167475.73000000001</v>
      </c>
      <c r="K598" s="108">
        <f>SUM(K591:K597)</f>
        <v>479548.19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130584.11</v>
      </c>
      <c r="I604" s="18"/>
      <c r="J604" s="18">
        <v>121910.84</v>
      </c>
      <c r="K604" s="104">
        <f>SUM(H604:J604)</f>
        <v>252494.95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130584.11</v>
      </c>
      <c r="I605" s="108">
        <f>SUM(I602:I604)</f>
        <v>0</v>
      </c>
      <c r="J605" s="108">
        <f>SUM(J602:J604)</f>
        <v>121910.84</v>
      </c>
      <c r="K605" s="108">
        <f>SUM(K602:K604)</f>
        <v>252494.95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15120.75+24578</f>
        <v>39698.75</v>
      </c>
      <c r="G611" s="18">
        <f>7888.4+1156.74</f>
        <v>9045.14</v>
      </c>
      <c r="H611" s="18"/>
      <c r="I611" s="18"/>
      <c r="J611" s="18"/>
      <c r="K611" s="18"/>
      <c r="L611" s="88">
        <f>SUM(F611:K611)</f>
        <v>48743.89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4140.5</v>
      </c>
      <c r="G613" s="18">
        <v>316.75</v>
      </c>
      <c r="H613" s="18"/>
      <c r="I613" s="18"/>
      <c r="J613" s="18"/>
      <c r="K613" s="18"/>
      <c r="L613" s="88">
        <f>SUM(F613:K613)</f>
        <v>4457.25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43839.25</v>
      </c>
      <c r="G614" s="108">
        <f t="shared" si="49"/>
        <v>9361.89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53201.14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2494708.4300000002</v>
      </c>
      <c r="H617" s="109">
        <f>SUM(F52)</f>
        <v>2494708.4300000002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65176.259999999995</v>
      </c>
      <c r="H618" s="109">
        <f>SUM(G52)</f>
        <v>65176.259999999995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79134.880000000005</v>
      </c>
      <c r="H619" s="109">
        <f>SUM(H52)</f>
        <v>79134.880000000005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1548637.86</v>
      </c>
      <c r="H621" s="109">
        <f>SUM(J52)</f>
        <v>1548637.86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559504.98</v>
      </c>
      <c r="H622" s="109">
        <f>F476</f>
        <v>559504.98000000045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8779.27</v>
      </c>
      <c r="H623" s="109">
        <f>G476</f>
        <v>8779.2699999999604</v>
      </c>
      <c r="I623" s="121" t="s">
        <v>102</v>
      </c>
      <c r="J623" s="109">
        <f t="shared" si="50"/>
        <v>4.0017766878008842E-11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79134.880000000005</v>
      </c>
      <c r="H624" s="109">
        <f>H476</f>
        <v>79134.879999999888</v>
      </c>
      <c r="I624" s="121" t="s">
        <v>103</v>
      </c>
      <c r="J624" s="109">
        <f t="shared" si="50"/>
        <v>1.1641532182693481E-10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1548637.86</v>
      </c>
      <c r="H626" s="109">
        <f>J476</f>
        <v>1548637.86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13455302.610000001</v>
      </c>
      <c r="H627" s="104">
        <f>SUM(F468)</f>
        <v>13455302.609999999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478260.79000000004</v>
      </c>
      <c r="H628" s="104">
        <f>SUM(G468)</f>
        <v>478260.79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1131813.7600000002</v>
      </c>
      <c r="H629" s="104">
        <f>SUM(H468)</f>
        <v>1131813.76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50000</v>
      </c>
      <c r="H631" s="104">
        <f>SUM(J468)</f>
        <v>50000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13846042.1</v>
      </c>
      <c r="H632" s="104">
        <f>SUM(F472)</f>
        <v>13846042.1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1115429.7800000003</v>
      </c>
      <c r="H633" s="104">
        <f>SUM(H472)</f>
        <v>1115429.78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151276.5</v>
      </c>
      <c r="H634" s="104">
        <f>I369</f>
        <v>151276.5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469481.52</v>
      </c>
      <c r="H635" s="104">
        <f>SUM(G472)</f>
        <v>469481.52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50000</v>
      </c>
      <c r="H637" s="164">
        <f>SUM(J468)</f>
        <v>50000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1292256.54</v>
      </c>
      <c r="H639" s="104">
        <f>SUM(F461)</f>
        <v>1292256.54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256381.32</v>
      </c>
      <c r="H640" s="104">
        <f>SUM(G461)</f>
        <v>256381.32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1548637.86</v>
      </c>
      <c r="H642" s="104">
        <f>SUM(I461)</f>
        <v>1548637.86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50000</v>
      </c>
      <c r="H645" s="104">
        <f>G408</f>
        <v>50000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50000</v>
      </c>
      <c r="H646" s="104">
        <f>L408</f>
        <v>50000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479548.19</v>
      </c>
      <c r="H647" s="104">
        <f>L208+L226+L244</f>
        <v>479548.18999999994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252494.95</v>
      </c>
      <c r="H648" s="104">
        <f>(J257+J338)-(J255+J336)</f>
        <v>252494.95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312072.45999999996</v>
      </c>
      <c r="H649" s="104">
        <f>H598</f>
        <v>312072.45999999996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167475.72999999998</v>
      </c>
      <c r="H651" s="104">
        <f>J598</f>
        <v>167475.73000000001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129000</v>
      </c>
      <c r="H652" s="104">
        <f>K263+K345</f>
        <v>129000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50000</v>
      </c>
      <c r="H655" s="104">
        <f>K266+K347</f>
        <v>50000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10141437.75</v>
      </c>
      <c r="G660" s="19">
        <f>(L229+L309+L359)</f>
        <v>0</v>
      </c>
      <c r="H660" s="19">
        <f>(L247+L328+L360)</f>
        <v>5110515.6499999994</v>
      </c>
      <c r="I660" s="19">
        <f>SUM(F660:H660)</f>
        <v>15251953.399999999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89966.040217933172</v>
      </c>
      <c r="G661" s="19">
        <f>(L359/IF(SUM(L358:L360)=0,1,SUM(L358:L360))*(SUM(G97:G110)))</f>
        <v>0</v>
      </c>
      <c r="H661" s="19">
        <f>(L360/IF(SUM(L358:L360)=0,1,SUM(L358:L360))*(SUM(G97:G110)))</f>
        <v>36746.699782066826</v>
      </c>
      <c r="I661" s="19">
        <f>SUM(F661:H661)</f>
        <v>126712.73999999999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314189.69999999995</v>
      </c>
      <c r="G662" s="19">
        <f>(L226+L306)-(J226+J306)</f>
        <v>0</v>
      </c>
      <c r="H662" s="19">
        <f>(L244+L325)-(J244+J325)</f>
        <v>168340.52</v>
      </c>
      <c r="I662" s="19">
        <f>SUM(F662:H662)</f>
        <v>482530.22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580091.25</v>
      </c>
      <c r="G663" s="199">
        <f>SUM(G575:G587)+SUM(I602:I604)+L612</f>
        <v>0</v>
      </c>
      <c r="H663" s="199">
        <f>SUM(H575:H587)+SUM(J602:J604)+L613</f>
        <v>722718.17999999993</v>
      </c>
      <c r="I663" s="19">
        <f>SUM(F663:H663)</f>
        <v>1302809.43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9157190.7597820666</v>
      </c>
      <c r="G664" s="19">
        <f>G660-SUM(G661:G663)</f>
        <v>0</v>
      </c>
      <c r="H664" s="19">
        <f>H660-SUM(H661:H663)</f>
        <v>4182710.2502179327</v>
      </c>
      <c r="I664" s="19">
        <f>I660-SUM(I661:I663)</f>
        <v>13339901.009999998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12.71+70.5+544.31</f>
        <v>627.52</v>
      </c>
      <c r="G665" s="248"/>
      <c r="H665" s="248">
        <v>255.84</v>
      </c>
      <c r="I665" s="19">
        <f>SUM(F665:H665)</f>
        <v>883.36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14592.67</v>
      </c>
      <c r="G667" s="19" t="e">
        <f>ROUND(G664/G665,2)</f>
        <v>#DIV/0!</v>
      </c>
      <c r="H667" s="19">
        <f>ROUND(H664/H665,2)</f>
        <v>16348.93</v>
      </c>
      <c r="I667" s="19">
        <f>ROUND(I664/I665,2)</f>
        <v>15101.32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-7.44</v>
      </c>
      <c r="I670" s="19">
        <f>SUM(F670:H670)</f>
        <v>-7.44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14592.67</v>
      </c>
      <c r="G672" s="19" t="e">
        <f>ROUND((G664+G669)/(G665+G670),2)</f>
        <v>#DIV/0!</v>
      </c>
      <c r="H672" s="19">
        <f>ROUND((H664+H669)/(H665+H670),2)</f>
        <v>16838.61</v>
      </c>
      <c r="I672" s="19">
        <f>ROUND((I664+I669)/(I665+I670),2)</f>
        <v>15229.59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zoomScale="130" zoomScaleNormal="130" workbookViewId="0">
      <selection activeCell="B30" sqref="B3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 xml:space="preserve">FARMINGTON 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3697485.19</v>
      </c>
      <c r="C9" s="229">
        <f>'DOE25'!G197+'DOE25'!G215+'DOE25'!G233+'DOE25'!G276+'DOE25'!G295+'DOE25'!G314</f>
        <v>1596223.1</v>
      </c>
    </row>
    <row r="10" spans="1:3" x14ac:dyDescent="0.2">
      <c r="A10" t="s">
        <v>778</v>
      </c>
      <c r="B10" s="240">
        <f>58093.57+3242040.63+228868.08+37881.13</f>
        <v>3566883.4099999997</v>
      </c>
      <c r="C10" s="240">
        <f>6627.11+1561191.61</f>
        <v>1567818.7200000002</v>
      </c>
    </row>
    <row r="11" spans="1:3" x14ac:dyDescent="0.2">
      <c r="A11" t="s">
        <v>779</v>
      </c>
      <c r="B11" s="240">
        <f>42488.7+30693.32</f>
        <v>73182.01999999999</v>
      </c>
      <c r="C11" s="240">
        <v>23018.97</v>
      </c>
    </row>
    <row r="12" spans="1:3" x14ac:dyDescent="0.2">
      <c r="A12" t="s">
        <v>780</v>
      </c>
      <c r="B12" s="240">
        <f>120+57299.76</f>
        <v>57419.76</v>
      </c>
      <c r="C12" s="240">
        <f>1001.98+4383.43</f>
        <v>5385.41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3697485.1899999995</v>
      </c>
      <c r="C13" s="231">
        <f>SUM(C10:C12)</f>
        <v>1596223.1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1433457.84</v>
      </c>
      <c r="C18" s="229">
        <f>'DOE25'!G198+'DOE25'!G216+'DOE25'!G234+'DOE25'!G277+'DOE25'!G296+'DOE25'!G315</f>
        <v>410000.48</v>
      </c>
    </row>
    <row r="19" spans="1:3" x14ac:dyDescent="0.2">
      <c r="A19" t="s">
        <v>778</v>
      </c>
      <c r="B19" s="240">
        <v>689364.39</v>
      </c>
      <c r="C19" s="240">
        <v>320782.34000000003</v>
      </c>
    </row>
    <row r="20" spans="1:3" x14ac:dyDescent="0.2">
      <c r="A20" t="s">
        <v>779</v>
      </c>
      <c r="B20" s="240">
        <f>37456.53+673900.13</f>
        <v>711356.66</v>
      </c>
      <c r="C20" s="240">
        <f>30000+2295+54418.78</f>
        <v>86713.78</v>
      </c>
    </row>
    <row r="21" spans="1:3" x14ac:dyDescent="0.2">
      <c r="A21" t="s">
        <v>780</v>
      </c>
      <c r="B21" s="240">
        <f>12435+20301.79</f>
        <v>32736.79</v>
      </c>
      <c r="C21" s="240">
        <v>2504.36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1433457.84</v>
      </c>
      <c r="C22" s="231">
        <f>SUM(C19:C21)</f>
        <v>410000.48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108913.47</v>
      </c>
      <c r="C36" s="235">
        <f>'DOE25'!G200+'DOE25'!G218+'DOE25'!G236+'DOE25'!G279+'DOE25'!G298+'DOE25'!G317</f>
        <v>17891.419999999998</v>
      </c>
    </row>
    <row r="37" spans="1:3" x14ac:dyDescent="0.2">
      <c r="A37" t="s">
        <v>778</v>
      </c>
      <c r="B37" s="240">
        <f>1984+12416+3842+6336</f>
        <v>24578</v>
      </c>
      <c r="C37" s="240">
        <f>1880.22+3728.48</f>
        <v>5608.7</v>
      </c>
    </row>
    <row r="38" spans="1:3" x14ac:dyDescent="0.2">
      <c r="A38" t="s">
        <v>779</v>
      </c>
      <c r="B38" s="240">
        <f>20011.72+2887.5+2025</f>
        <v>24924.22</v>
      </c>
      <c r="C38" s="240">
        <v>2320</v>
      </c>
    </row>
    <row r="39" spans="1:3" x14ac:dyDescent="0.2">
      <c r="A39" t="s">
        <v>780</v>
      </c>
      <c r="B39" s="240">
        <f>25194+34217.25</f>
        <v>59411.25</v>
      </c>
      <c r="C39" s="240">
        <f>5684.87+4277.85</f>
        <v>9962.7200000000012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108913.47</v>
      </c>
      <c r="C40" s="231">
        <f>SUM(C37:C39)</f>
        <v>17891.420000000002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 xml:space="preserve">FARMINGTON 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7978962.75</v>
      </c>
      <c r="D5" s="20">
        <f>SUM('DOE25'!L197:L200)+SUM('DOE25'!L215:L218)+SUM('DOE25'!L233:L236)-F5-G5</f>
        <v>7932812.2799999993</v>
      </c>
      <c r="E5" s="243"/>
      <c r="F5" s="255">
        <f>SUM('DOE25'!J197:J200)+SUM('DOE25'!J215:J218)+SUM('DOE25'!J233:J236)</f>
        <v>16726.82</v>
      </c>
      <c r="G5" s="53">
        <f>SUM('DOE25'!K197:K200)+SUM('DOE25'!K215:K218)+SUM('DOE25'!K233:K236)</f>
        <v>29423.65</v>
      </c>
      <c r="H5" s="259"/>
    </row>
    <row r="6" spans="1:9" x14ac:dyDescent="0.2">
      <c r="A6" s="32">
        <v>2100</v>
      </c>
      <c r="B6" t="s">
        <v>800</v>
      </c>
      <c r="C6" s="245">
        <f t="shared" si="0"/>
        <v>1172514.53</v>
      </c>
      <c r="D6" s="20">
        <f>'DOE25'!L202+'DOE25'!L220+'DOE25'!L238-F6-G6</f>
        <v>1171828.28</v>
      </c>
      <c r="E6" s="243"/>
      <c r="F6" s="255">
        <f>'DOE25'!J202+'DOE25'!J220+'DOE25'!J238</f>
        <v>43.25</v>
      </c>
      <c r="G6" s="53">
        <f>'DOE25'!K202+'DOE25'!K220+'DOE25'!K238</f>
        <v>643</v>
      </c>
      <c r="H6" s="259"/>
    </row>
    <row r="7" spans="1:9" x14ac:dyDescent="0.2">
      <c r="A7" s="32">
        <v>2200</v>
      </c>
      <c r="B7" t="s">
        <v>833</v>
      </c>
      <c r="C7" s="245">
        <f t="shared" si="0"/>
        <v>284727.49000000005</v>
      </c>
      <c r="D7" s="20">
        <f>'DOE25'!L203+'DOE25'!L221+'DOE25'!L239-F7-G7</f>
        <v>284552.49000000005</v>
      </c>
      <c r="E7" s="243"/>
      <c r="F7" s="255">
        <f>'DOE25'!J203+'DOE25'!J221+'DOE25'!J239</f>
        <v>0</v>
      </c>
      <c r="G7" s="53">
        <f>'DOE25'!K203+'DOE25'!K221+'DOE25'!K239</f>
        <v>175</v>
      </c>
      <c r="H7" s="259"/>
    </row>
    <row r="8" spans="1:9" x14ac:dyDescent="0.2">
      <c r="A8" s="32">
        <v>2300</v>
      </c>
      <c r="B8" t="s">
        <v>801</v>
      </c>
      <c r="C8" s="245">
        <f t="shared" si="0"/>
        <v>533663.92999999993</v>
      </c>
      <c r="D8" s="243"/>
      <c r="E8" s="20">
        <f>'DOE25'!L204+'DOE25'!L222+'DOE25'!L240-F8-G8-D9-D11</f>
        <v>530919.92999999993</v>
      </c>
      <c r="F8" s="255">
        <f>'DOE25'!J204+'DOE25'!J222+'DOE25'!J240</f>
        <v>0</v>
      </c>
      <c r="G8" s="53">
        <f>'DOE25'!K204+'DOE25'!K222+'DOE25'!K240</f>
        <v>2744</v>
      </c>
      <c r="H8" s="259"/>
    </row>
    <row r="9" spans="1:9" x14ac:dyDescent="0.2">
      <c r="A9" s="32">
        <v>2310</v>
      </c>
      <c r="B9" t="s">
        <v>817</v>
      </c>
      <c r="C9" s="245">
        <f t="shared" si="0"/>
        <v>58601.78</v>
      </c>
      <c r="D9" s="244">
        <v>58601.78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11600</v>
      </c>
      <c r="D10" s="243"/>
      <c r="E10" s="244">
        <v>11600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253531.23</v>
      </c>
      <c r="D11" s="244">
        <v>253531.23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1054699.6000000001</v>
      </c>
      <c r="D12" s="20">
        <f>'DOE25'!L205+'DOE25'!L223+'DOE25'!L241-F12-G12</f>
        <v>1045029.3700000001</v>
      </c>
      <c r="E12" s="243"/>
      <c r="F12" s="255">
        <f>'DOE25'!J205+'DOE25'!J223+'DOE25'!J241</f>
        <v>2364.6899999999996</v>
      </c>
      <c r="G12" s="53">
        <f>'DOE25'!K205+'DOE25'!K223+'DOE25'!K241</f>
        <v>7305.54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34860.210000000006</v>
      </c>
      <c r="D13" s="243"/>
      <c r="E13" s="20">
        <f>'DOE25'!L206+'DOE25'!L224+'DOE25'!L242-F13-G13</f>
        <v>34736.630000000005</v>
      </c>
      <c r="F13" s="255">
        <f>'DOE25'!J206+'DOE25'!J224+'DOE25'!J242</f>
        <v>0</v>
      </c>
      <c r="G13" s="53">
        <f>'DOE25'!K206+'DOE25'!K224+'DOE25'!K242</f>
        <v>123.58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1461569.99</v>
      </c>
      <c r="D14" s="20">
        <f>'DOE25'!L207+'DOE25'!L225+'DOE25'!L243-F14-G14</f>
        <v>1407745.17</v>
      </c>
      <c r="E14" s="243"/>
      <c r="F14" s="255">
        <f>'DOE25'!J207+'DOE25'!J225+'DOE25'!J243</f>
        <v>53734.82</v>
      </c>
      <c r="G14" s="53">
        <f>'DOE25'!K207+'DOE25'!K225+'DOE25'!K243</f>
        <v>90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479548.18999999994</v>
      </c>
      <c r="D15" s="20">
        <f>'DOE25'!L208+'DOE25'!L226+'DOE25'!L244-F15-G15</f>
        <v>475816.08999999997</v>
      </c>
      <c r="E15" s="243"/>
      <c r="F15" s="255">
        <f>'DOE25'!J208+'DOE25'!J226+'DOE25'!J244</f>
        <v>2358.1</v>
      </c>
      <c r="G15" s="53">
        <f>'DOE25'!K208+'DOE25'!K226+'DOE25'!K244</f>
        <v>1374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354362.4</v>
      </c>
      <c r="D16" s="243"/>
      <c r="E16" s="20">
        <f>'DOE25'!L209+'DOE25'!L227+'DOE25'!L245-F16-G16</f>
        <v>274512.99</v>
      </c>
      <c r="F16" s="255">
        <f>'DOE25'!J209+'DOE25'!J227+'DOE25'!J245</f>
        <v>79849.41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328694.76</v>
      </c>
      <c r="D29" s="20">
        <f>'DOE25'!L358+'DOE25'!L359+'DOE25'!L360-'DOE25'!I367-F29-G29</f>
        <v>328694.76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1115429.7800000003</v>
      </c>
      <c r="D31" s="20">
        <f>'DOE25'!L290+'DOE25'!L309+'DOE25'!L328+'DOE25'!L333+'DOE25'!L334+'DOE25'!L335-F31-G31</f>
        <v>1013381.9300000003</v>
      </c>
      <c r="E31" s="243"/>
      <c r="F31" s="255">
        <f>'DOE25'!J290+'DOE25'!J309+'DOE25'!J328+'DOE25'!J333+'DOE25'!J334+'DOE25'!J335</f>
        <v>97417.859999999986</v>
      </c>
      <c r="G31" s="53">
        <f>'DOE25'!K290+'DOE25'!K309+'DOE25'!K328+'DOE25'!K333+'DOE25'!K334+'DOE25'!K335</f>
        <v>4629.99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13971993.379999999</v>
      </c>
      <c r="E33" s="246">
        <f>SUM(E5:E31)</f>
        <v>851769.54999999993</v>
      </c>
      <c r="F33" s="246">
        <f>SUM(F5:F31)</f>
        <v>252494.95</v>
      </c>
      <c r="G33" s="246">
        <f>SUM(G5:G31)</f>
        <v>46508.76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851769.54999999993</v>
      </c>
      <c r="E35" s="249"/>
    </row>
    <row r="36" spans="2:8" ht="12" thickTop="1" x14ac:dyDescent="0.2">
      <c r="B36" t="s">
        <v>814</v>
      </c>
      <c r="D36" s="20">
        <f>D33</f>
        <v>13971993.379999999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78" activePane="bottomLeft" state="frozen"/>
      <selection activeCell="F46" sqref="F46"/>
      <selection pane="bottomLeft" activeCell="I94" sqref="I9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FARMINGTON 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2491838.4300000002</v>
      </c>
      <c r="D8" s="95">
        <f>'DOE25'!G9</f>
        <v>32317.24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62750.9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1548637.86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16383.98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32859.019999999997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2870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2494708.4300000002</v>
      </c>
      <c r="D18" s="41">
        <f>SUM(D8:D17)</f>
        <v>65176.259999999995</v>
      </c>
      <c r="E18" s="41">
        <f>SUM(E8:E17)</f>
        <v>79134.880000000005</v>
      </c>
      <c r="F18" s="41">
        <f>SUM(F8:F17)</f>
        <v>0</v>
      </c>
      <c r="G18" s="41">
        <f>SUM(G8:G17)</f>
        <v>1548637.86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585100.77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75507.289999999994</v>
      </c>
      <c r="D23" s="95">
        <f>'DOE25'!G24</f>
        <v>56396.99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129000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423750.71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721844.68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1935203.4500000002</v>
      </c>
      <c r="D31" s="41">
        <f>SUM(D21:D30)</f>
        <v>56396.99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8779.27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174062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79134.880000000005</v>
      </c>
      <c r="F47" s="95">
        <f>'DOE25'!I48</f>
        <v>0</v>
      </c>
      <c r="G47" s="95">
        <f>'DOE25'!J48</f>
        <v>1548637.86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112137.32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173305.66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559504.98</v>
      </c>
      <c r="D50" s="41">
        <f>SUM(D34:D49)</f>
        <v>8779.27</v>
      </c>
      <c r="E50" s="41">
        <f>SUM(E34:E49)</f>
        <v>79134.880000000005</v>
      </c>
      <c r="F50" s="41">
        <f>SUM(F34:F49)</f>
        <v>0</v>
      </c>
      <c r="G50" s="41">
        <f>SUM(G34:G49)</f>
        <v>1548637.86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2494708.4300000002</v>
      </c>
      <c r="D51" s="41">
        <f>D50+D31</f>
        <v>65176.259999999995</v>
      </c>
      <c r="E51" s="41">
        <f>E50+E31</f>
        <v>79134.880000000005</v>
      </c>
      <c r="F51" s="41">
        <f>F50+F31</f>
        <v>0</v>
      </c>
      <c r="G51" s="41">
        <f>G50+G31</f>
        <v>1548637.86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5915088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55407.34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8268.7800000000007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126712.74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5960.06</v>
      </c>
      <c r="D61" s="95">
        <f>SUM('DOE25'!G98:G110)</f>
        <v>0</v>
      </c>
      <c r="E61" s="95">
        <f>SUM('DOE25'!H98:H110)</f>
        <v>3622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69636.179999999993</v>
      </c>
      <c r="D62" s="130">
        <f>SUM(D57:D61)</f>
        <v>126712.74</v>
      </c>
      <c r="E62" s="130">
        <f>SUM(E57:E61)</f>
        <v>3622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5984724.1799999997</v>
      </c>
      <c r="D63" s="22">
        <f>D56+D62</f>
        <v>126712.74</v>
      </c>
      <c r="E63" s="22">
        <f>E56+E62</f>
        <v>3622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6093603.1900000004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1047418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7141021.1900000004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131023.38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16224.8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6436.93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147248.18</v>
      </c>
      <c r="D78" s="130">
        <f>SUM(D72:D77)</f>
        <v>6436.93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48723.58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7288269.3700000001</v>
      </c>
      <c r="D81" s="130">
        <f>SUM(D79:D80)+D78+D70</f>
        <v>6436.93</v>
      </c>
      <c r="E81" s="130">
        <f>SUM(E79:E80)+E78+E70</f>
        <v>48723.58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40480.339999999997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153526.98000000001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141828.72</v>
      </c>
      <c r="D88" s="95">
        <f>SUM('DOE25'!G153:G161)</f>
        <v>216111.12</v>
      </c>
      <c r="E88" s="95">
        <f>SUM('DOE25'!H153:H161)</f>
        <v>925941.2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182309.06</v>
      </c>
      <c r="D91" s="131">
        <f>SUM(D85:D90)</f>
        <v>216111.12</v>
      </c>
      <c r="E91" s="131">
        <f>SUM(E85:E90)</f>
        <v>1079468.18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129000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129000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764</v>
      </c>
      <c r="C104" s="86">
        <f>C63+C81+C91+C103</f>
        <v>13455302.610000001</v>
      </c>
      <c r="D104" s="86">
        <f>D63+D81+D91+D103</f>
        <v>478260.79000000004</v>
      </c>
      <c r="E104" s="86">
        <f>E63+E81+E91+E103</f>
        <v>1131813.76</v>
      </c>
      <c r="F104" s="86">
        <f>F63+F81+F91+F103</f>
        <v>0</v>
      </c>
      <c r="G104" s="86">
        <f>G63+G81+G103</f>
        <v>50000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4921650.0199999996</v>
      </c>
      <c r="D109" s="24" t="s">
        <v>288</v>
      </c>
      <c r="E109" s="95">
        <f>('DOE25'!L276)+('DOE25'!L295)+('DOE25'!L314)</f>
        <v>560077.33000000007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2794908.82</v>
      </c>
      <c r="D110" s="24" t="s">
        <v>288</v>
      </c>
      <c r="E110" s="95">
        <f>('DOE25'!L277)+('DOE25'!L296)+('DOE25'!L315)</f>
        <v>47729.380000000005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143888.26999999999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118515.64</v>
      </c>
      <c r="D112" s="24" t="s">
        <v>288</v>
      </c>
      <c r="E112" s="95">
        <f>+('DOE25'!L279)+('DOE25'!L298)+('DOE25'!L317)</f>
        <v>55200.77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7978962.7499999991</v>
      </c>
      <c r="D115" s="86">
        <f>SUM(D109:D114)</f>
        <v>0</v>
      </c>
      <c r="E115" s="86">
        <f>SUM(E109:E114)</f>
        <v>663007.4800000001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1172514.53</v>
      </c>
      <c r="D118" s="24" t="s">
        <v>288</v>
      </c>
      <c r="E118" s="95">
        <f>+('DOE25'!L281)+('DOE25'!L300)+('DOE25'!L319)</f>
        <v>72920.289999999994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284727.49000000005</v>
      </c>
      <c r="D119" s="24" t="s">
        <v>288</v>
      </c>
      <c r="E119" s="95">
        <f>+('DOE25'!L282)+('DOE25'!L301)+('DOE25'!L320)</f>
        <v>238914.36000000002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845796.94</v>
      </c>
      <c r="D120" s="24" t="s">
        <v>288</v>
      </c>
      <c r="E120" s="95">
        <f>+('DOE25'!L283)+('DOE25'!L302)+('DOE25'!L321)</f>
        <v>133161.86000000002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1054699.6000000001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34860.210000000006</v>
      </c>
      <c r="D122" s="24" t="s">
        <v>288</v>
      </c>
      <c r="E122" s="95">
        <f>+('DOE25'!L285)+('DOE25'!L304)+('DOE25'!L323)</f>
        <v>2085.66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1461569.99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479548.18999999994</v>
      </c>
      <c r="D124" s="24" t="s">
        <v>288</v>
      </c>
      <c r="E124" s="95">
        <f>+('DOE25'!L287)+('DOE25'!L306)+('DOE25'!L325)</f>
        <v>5340.13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354362.4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469481.52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5688079.3499999996</v>
      </c>
      <c r="D128" s="86">
        <f>SUM(D118:D127)</f>
        <v>469481.52</v>
      </c>
      <c r="E128" s="86">
        <f>SUM(E118:E127)</f>
        <v>452422.3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129000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50000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179000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13846042.099999998</v>
      </c>
      <c r="D145" s="86">
        <f>(D115+D128+D144)</f>
        <v>469481.52</v>
      </c>
      <c r="E145" s="86">
        <f>(E115+E128+E144)</f>
        <v>1115429.78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4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2/2013</v>
      </c>
      <c r="C152" s="152" t="str">
        <f>'DOE25'!G491</f>
        <v>3/2017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8/2018</v>
      </c>
      <c r="C153" s="152" t="str">
        <f>'DOE25'!G492</f>
        <v>3/2020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194488.72</v>
      </c>
      <c r="C154" s="137">
        <f>'DOE25'!G493</f>
        <v>75349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2.68</v>
      </c>
      <c r="C155" s="137">
        <f>'DOE25'!G494</f>
        <v>2.2719999999999998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79829.86</v>
      </c>
      <c r="C156" s="137">
        <f>'DOE25'!G495</f>
        <v>57141.93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136971.79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40442.730000000003</v>
      </c>
      <c r="C159" s="137">
        <f>'DOE25'!G498</f>
        <v>57141.93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97584.66</v>
      </c>
    </row>
    <row r="160" spans="1:9" x14ac:dyDescent="0.2">
      <c r="A160" s="22" t="s">
        <v>36</v>
      </c>
      <c r="B160" s="137">
        <f>'DOE25'!F499</f>
        <v>1083.8399999999999</v>
      </c>
      <c r="C160" s="137">
        <f>'DOE25'!G499</f>
        <v>2615.9899999999998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3699.83</v>
      </c>
    </row>
    <row r="161" spans="1:7" x14ac:dyDescent="0.2">
      <c r="A161" s="22" t="s">
        <v>37</v>
      </c>
      <c r="B161" s="137">
        <f>'DOE25'!F500</f>
        <v>41526.57</v>
      </c>
      <c r="C161" s="137">
        <f>'DOE25'!G500</f>
        <v>59757.919999999998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101284.48999999999</v>
      </c>
    </row>
    <row r="162" spans="1:7" x14ac:dyDescent="0.2">
      <c r="A162" s="22" t="s">
        <v>38</v>
      </c>
      <c r="B162" s="137">
        <f>'DOE25'!F501</f>
        <v>40442.730000000003</v>
      </c>
      <c r="C162" s="137">
        <f>'DOE25'!G501</f>
        <v>18620.740000000002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59063.47</v>
      </c>
    </row>
    <row r="163" spans="1:7" x14ac:dyDescent="0.2">
      <c r="A163" s="22" t="s">
        <v>39</v>
      </c>
      <c r="B163" s="137">
        <f>'DOE25'!F502</f>
        <v>1083.8399999999999</v>
      </c>
      <c r="C163" s="137">
        <f>'DOE25'!G502</f>
        <v>1298.26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2382.1</v>
      </c>
    </row>
    <row r="164" spans="1:7" x14ac:dyDescent="0.2">
      <c r="A164" s="22" t="s">
        <v>246</v>
      </c>
      <c r="B164" s="137">
        <f>'DOE25'!F503</f>
        <v>41526.57</v>
      </c>
      <c r="C164" s="137">
        <f>'DOE25'!G503</f>
        <v>19919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61445.57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 xml:space="preserve">FARMINGTON 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14593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16839</v>
      </c>
    </row>
    <row r="7" spans="1:4" x14ac:dyDescent="0.2">
      <c r="B7" t="s">
        <v>704</v>
      </c>
      <c r="C7" s="179">
        <f>IF('DOE25'!I665+'DOE25'!I670=0,0,ROUND('DOE25'!I672,0))</f>
        <v>15230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5481727</v>
      </c>
      <c r="D10" s="182">
        <f>ROUND((C10/$C$28)*100,1)</f>
        <v>36.200000000000003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2842638</v>
      </c>
      <c r="D11" s="182">
        <f>ROUND((C11/$C$28)*100,1)</f>
        <v>18.8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143888</v>
      </c>
      <c r="D12" s="182">
        <f>ROUND((C12/$C$28)*100,1)</f>
        <v>1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173716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1245435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523642</v>
      </c>
      <c r="D16" s="182">
        <f t="shared" si="0"/>
        <v>3.5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1333321</v>
      </c>
      <c r="D17" s="182">
        <f t="shared" si="0"/>
        <v>8.8000000000000007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1054700</v>
      </c>
      <c r="D18" s="182">
        <f t="shared" si="0"/>
        <v>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36946</v>
      </c>
      <c r="D19" s="182">
        <f t="shared" si="0"/>
        <v>0.2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1461570</v>
      </c>
      <c r="D20" s="182">
        <f t="shared" si="0"/>
        <v>9.6999999999999993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484888</v>
      </c>
      <c r="D21" s="182">
        <f t="shared" si="0"/>
        <v>3.2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342769.26</v>
      </c>
      <c r="D27" s="182">
        <f t="shared" si="0"/>
        <v>2.2999999999999998</v>
      </c>
    </row>
    <row r="28" spans="1:4" x14ac:dyDescent="0.2">
      <c r="B28" s="187" t="s">
        <v>722</v>
      </c>
      <c r="C28" s="180">
        <f>SUM(C10:C27)</f>
        <v>15125240.26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15125240.26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5915088</v>
      </c>
      <c r="D35" s="182">
        <f t="shared" ref="D35:D40" si="1">ROUND((C35/$C$41)*100,1)</f>
        <v>39.9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73258.179999999702</v>
      </c>
      <c r="D36" s="182">
        <f t="shared" si="1"/>
        <v>0.5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7141021</v>
      </c>
      <c r="D37" s="182">
        <f t="shared" si="1"/>
        <v>48.2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202409</v>
      </c>
      <c r="D38" s="182">
        <f t="shared" si="1"/>
        <v>1.4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1477888</v>
      </c>
      <c r="D39" s="182">
        <f t="shared" si="1"/>
        <v>10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14809664.18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 xml:space="preserve">FARMINGTON 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2017-11-28T14:27:08Z</cp:lastPrinted>
  <dcterms:created xsi:type="dcterms:W3CDTF">1997-12-04T19:04:30Z</dcterms:created>
  <dcterms:modified xsi:type="dcterms:W3CDTF">2017-11-29T17:20:12Z</dcterms:modified>
</cp:coreProperties>
</file>