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200" windowHeight="109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5" i="1" l="1"/>
  <c r="H203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E8" i="13" s="1"/>
  <c r="C8" i="13" s="1"/>
  <c r="G8" i="13"/>
  <c r="L204" i="1"/>
  <c r="L222" i="1"/>
  <c r="L240" i="1"/>
  <c r="D39" i="13"/>
  <c r="F13" i="13"/>
  <c r="G13" i="13"/>
  <c r="L206" i="1"/>
  <c r="L224" i="1"/>
  <c r="E13" i="13" s="1"/>
  <c r="C13" i="13" s="1"/>
  <c r="L242" i="1"/>
  <c r="F16" i="13"/>
  <c r="E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H662" i="1" s="1"/>
  <c r="F17" i="13"/>
  <c r="G17" i="13"/>
  <c r="L251" i="1"/>
  <c r="F18" i="13"/>
  <c r="G18" i="13"/>
  <c r="D18" i="13" s="1"/>
  <c r="C18" i="13" s="1"/>
  <c r="L252" i="1"/>
  <c r="F19" i="13"/>
  <c r="G19" i="13"/>
  <c r="L253" i="1"/>
  <c r="F29" i="13"/>
  <c r="G29" i="13"/>
  <c r="L358" i="1"/>
  <c r="L359" i="1"/>
  <c r="L360" i="1"/>
  <c r="I367" i="1"/>
  <c r="J290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E132" i="2" s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C58" i="2" s="1"/>
  <c r="F111" i="1"/>
  <c r="G111" i="1"/>
  <c r="G112" i="1" s="1"/>
  <c r="H79" i="1"/>
  <c r="E57" i="2" s="1"/>
  <c r="H94" i="1"/>
  <c r="E58" i="2" s="1"/>
  <c r="H111" i="1"/>
  <c r="H112" i="1" s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C85" i="2" s="1"/>
  <c r="C91" i="2" s="1"/>
  <c r="F162" i="1"/>
  <c r="G147" i="1"/>
  <c r="G162" i="1"/>
  <c r="H147" i="1"/>
  <c r="H162" i="1"/>
  <c r="I147" i="1"/>
  <c r="F85" i="2" s="1"/>
  <c r="I162" i="1"/>
  <c r="L250" i="1"/>
  <c r="L332" i="1"/>
  <c r="L254" i="1"/>
  <c r="L268" i="1"/>
  <c r="C142" i="2" s="1"/>
  <c r="L269" i="1"/>
  <c r="L349" i="1"/>
  <c r="L350" i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F81" i="2" s="1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E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E114" i="2"/>
  <c r="D115" i="2"/>
  <c r="F115" i="2"/>
  <c r="G115" i="2"/>
  <c r="C119" i="2"/>
  <c r="C120" i="2"/>
  <c r="C121" i="2"/>
  <c r="E123" i="2"/>
  <c r="E124" i="2"/>
  <c r="C125" i="2"/>
  <c r="E125" i="2"/>
  <c r="F128" i="2"/>
  <c r="G128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K257" i="1" s="1"/>
  <c r="K271" i="1" s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F461" i="1" s="1"/>
  <c r="H639" i="1" s="1"/>
  <c r="G452" i="1"/>
  <c r="H452" i="1"/>
  <c r="F460" i="1"/>
  <c r="G460" i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50" i="1"/>
  <c r="G652" i="1"/>
  <c r="H652" i="1"/>
  <c r="G653" i="1"/>
  <c r="H653" i="1"/>
  <c r="G654" i="1"/>
  <c r="H654" i="1"/>
  <c r="H655" i="1"/>
  <c r="A40" i="12"/>
  <c r="D12" i="13"/>
  <c r="C12" i="13" s="1"/>
  <c r="D50" i="2"/>
  <c r="G62" i="2"/>
  <c r="D19" i="13"/>
  <c r="C19" i="13" s="1"/>
  <c r="E78" i="2"/>
  <c r="E81" i="2" s="1"/>
  <c r="I169" i="1"/>
  <c r="H169" i="1"/>
  <c r="J476" i="1"/>
  <c r="H626" i="1" s="1"/>
  <c r="G22" i="2"/>
  <c r="H140" i="1"/>
  <c r="L401" i="1"/>
  <c r="C139" i="2" s="1"/>
  <c r="J655" i="1"/>
  <c r="G36" i="2"/>
  <c r="G552" i="1" l="1"/>
  <c r="L529" i="1"/>
  <c r="J552" i="1"/>
  <c r="H545" i="1"/>
  <c r="K551" i="1"/>
  <c r="K550" i="1"/>
  <c r="K549" i="1"/>
  <c r="A13" i="12"/>
  <c r="D31" i="2"/>
  <c r="C17" i="10"/>
  <c r="D62" i="2"/>
  <c r="D63" i="2" s="1"/>
  <c r="G192" i="1"/>
  <c r="D81" i="2"/>
  <c r="H476" i="1"/>
  <c r="H624" i="1" s="1"/>
  <c r="J624" i="1" s="1"/>
  <c r="D18" i="2"/>
  <c r="E119" i="2"/>
  <c r="G161" i="2"/>
  <c r="F338" i="1"/>
  <c r="F352" i="1" s="1"/>
  <c r="D29" i="13"/>
  <c r="C29" i="13" s="1"/>
  <c r="G651" i="1"/>
  <c r="J651" i="1" s="1"/>
  <c r="E62" i="2"/>
  <c r="E63" i="2" s="1"/>
  <c r="G156" i="2"/>
  <c r="C26" i="10"/>
  <c r="C114" i="2"/>
  <c r="K352" i="1"/>
  <c r="G338" i="1"/>
  <c r="G352" i="1" s="1"/>
  <c r="C122" i="2"/>
  <c r="C111" i="2"/>
  <c r="I545" i="1"/>
  <c r="I571" i="1"/>
  <c r="L614" i="1"/>
  <c r="I460" i="1"/>
  <c r="G408" i="1"/>
  <c r="H645" i="1" s="1"/>
  <c r="L382" i="1"/>
  <c r="G636" i="1" s="1"/>
  <c r="J636" i="1" s="1"/>
  <c r="C16" i="10"/>
  <c r="C19" i="10"/>
  <c r="F552" i="1"/>
  <c r="K605" i="1"/>
  <c r="G648" i="1" s="1"/>
  <c r="F571" i="1"/>
  <c r="J644" i="1"/>
  <c r="F408" i="1"/>
  <c r="H643" i="1" s="1"/>
  <c r="J643" i="1" s="1"/>
  <c r="E120" i="2"/>
  <c r="J639" i="1"/>
  <c r="K598" i="1"/>
  <c r="G647" i="1" s="1"/>
  <c r="G164" i="2"/>
  <c r="G157" i="2"/>
  <c r="H552" i="1"/>
  <c r="J571" i="1"/>
  <c r="I476" i="1"/>
  <c r="H625" i="1" s="1"/>
  <c r="J625" i="1" s="1"/>
  <c r="G545" i="1"/>
  <c r="I452" i="1"/>
  <c r="L433" i="1"/>
  <c r="L419" i="1"/>
  <c r="F18" i="2"/>
  <c r="L565" i="1"/>
  <c r="J545" i="1"/>
  <c r="K503" i="1"/>
  <c r="H461" i="1"/>
  <c r="H641" i="1" s="1"/>
  <c r="J641" i="1" s="1"/>
  <c r="L427" i="1"/>
  <c r="E121" i="2"/>
  <c r="L351" i="1"/>
  <c r="L544" i="1"/>
  <c r="H25" i="13"/>
  <c r="C25" i="13" s="1"/>
  <c r="L570" i="1"/>
  <c r="L571" i="1" s="1"/>
  <c r="K571" i="1"/>
  <c r="L524" i="1"/>
  <c r="G461" i="1"/>
  <c r="H640" i="1" s="1"/>
  <c r="J640" i="1" s="1"/>
  <c r="I408" i="1"/>
  <c r="E131" i="2"/>
  <c r="J617" i="1"/>
  <c r="C18" i="2"/>
  <c r="C35" i="10"/>
  <c r="F112" i="1"/>
  <c r="G476" i="1"/>
  <c r="H623" i="1" s="1"/>
  <c r="J623" i="1" s="1"/>
  <c r="F476" i="1"/>
  <c r="H622" i="1" s="1"/>
  <c r="J622" i="1" s="1"/>
  <c r="I369" i="1"/>
  <c r="H634" i="1" s="1"/>
  <c r="J634" i="1" s="1"/>
  <c r="F661" i="1"/>
  <c r="H661" i="1"/>
  <c r="G661" i="1"/>
  <c r="D127" i="2"/>
  <c r="D128" i="2" s="1"/>
  <c r="D145" i="2" s="1"/>
  <c r="L362" i="1"/>
  <c r="G635" i="1" s="1"/>
  <c r="J635" i="1" s="1"/>
  <c r="C118" i="2"/>
  <c r="C112" i="2"/>
  <c r="L247" i="1"/>
  <c r="I257" i="1"/>
  <c r="I271" i="1" s="1"/>
  <c r="D17" i="13"/>
  <c r="C17" i="13" s="1"/>
  <c r="L256" i="1"/>
  <c r="L270" i="1"/>
  <c r="H33" i="13"/>
  <c r="D15" i="13"/>
  <c r="C15" i="13" s="1"/>
  <c r="H257" i="1"/>
  <c r="H271" i="1" s="1"/>
  <c r="J257" i="1"/>
  <c r="J271" i="1" s="1"/>
  <c r="C109" i="2"/>
  <c r="F662" i="1"/>
  <c r="I662" i="1" s="1"/>
  <c r="C21" i="10"/>
  <c r="G649" i="1"/>
  <c r="J649" i="1" s="1"/>
  <c r="C124" i="2"/>
  <c r="H647" i="1"/>
  <c r="D14" i="13"/>
  <c r="C14" i="13" s="1"/>
  <c r="D6" i="13"/>
  <c r="C6" i="13" s="1"/>
  <c r="C13" i="10"/>
  <c r="A31" i="12"/>
  <c r="C12" i="10"/>
  <c r="C110" i="2"/>
  <c r="F257" i="1"/>
  <c r="F271" i="1" s="1"/>
  <c r="G257" i="1"/>
  <c r="G271" i="1" s="1"/>
  <c r="C78" i="2"/>
  <c r="C70" i="2"/>
  <c r="C81" i="2" s="1"/>
  <c r="E33" i="13"/>
  <c r="D35" i="13" s="1"/>
  <c r="C16" i="13"/>
  <c r="F169" i="1"/>
  <c r="F22" i="13"/>
  <c r="C22" i="13" s="1"/>
  <c r="K500" i="1"/>
  <c r="J112" i="1"/>
  <c r="J193" i="1" s="1"/>
  <c r="G646" i="1" s="1"/>
  <c r="C25" i="10"/>
  <c r="I446" i="1"/>
  <c r="G642" i="1" s="1"/>
  <c r="C11" i="10"/>
  <c r="L290" i="1"/>
  <c r="G645" i="1"/>
  <c r="J645" i="1" s="1"/>
  <c r="G81" i="2"/>
  <c r="C62" i="2"/>
  <c r="C63" i="2" s="1"/>
  <c r="C29" i="10"/>
  <c r="C143" i="2"/>
  <c r="L229" i="1"/>
  <c r="D5" i="13"/>
  <c r="C5" i="13" s="1"/>
  <c r="L534" i="1"/>
  <c r="C123" i="2"/>
  <c r="L211" i="1"/>
  <c r="C20" i="10"/>
  <c r="H52" i="1"/>
  <c r="H619" i="1" s="1"/>
  <c r="J619" i="1" s="1"/>
  <c r="C18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193" i="1"/>
  <c r="G629" i="1" s="1"/>
  <c r="J629" i="1" s="1"/>
  <c r="G169" i="1"/>
  <c r="G140" i="1"/>
  <c r="F140" i="1"/>
  <c r="G63" i="2"/>
  <c r="G104" i="2" s="1"/>
  <c r="J618" i="1"/>
  <c r="G42" i="2"/>
  <c r="G50" i="2" s="1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J652" i="1"/>
  <c r="G571" i="1"/>
  <c r="I434" i="1"/>
  <c r="G434" i="1"/>
  <c r="I663" i="1"/>
  <c r="K552" i="1" l="1"/>
  <c r="L545" i="1"/>
  <c r="G51" i="2"/>
  <c r="C36" i="10"/>
  <c r="J647" i="1"/>
  <c r="L257" i="1"/>
  <c r="L271" i="1" s="1"/>
  <c r="G632" i="1" s="1"/>
  <c r="J632" i="1" s="1"/>
  <c r="I461" i="1"/>
  <c r="H642" i="1" s="1"/>
  <c r="J642" i="1" s="1"/>
  <c r="C27" i="10"/>
  <c r="C39" i="10"/>
  <c r="F193" i="1"/>
  <c r="G627" i="1" s="1"/>
  <c r="J627" i="1" s="1"/>
  <c r="C104" i="2"/>
  <c r="I661" i="1"/>
  <c r="C115" i="2"/>
  <c r="C128" i="2"/>
  <c r="I193" i="1"/>
  <c r="G630" i="1" s="1"/>
  <c r="J630" i="1" s="1"/>
  <c r="F660" i="1"/>
  <c r="L408" i="1"/>
  <c r="F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F664" i="1"/>
  <c r="G637" i="1"/>
  <c r="J637" i="1" s="1"/>
  <c r="H646" i="1"/>
  <c r="J646" i="1" s="1"/>
  <c r="C41" i="10"/>
  <c r="D38" i="10" s="1"/>
  <c r="F672" i="1" l="1"/>
  <c r="C4" i="10" s="1"/>
  <c r="F667" i="1"/>
  <c r="D37" i="10"/>
  <c r="D36" i="10"/>
  <c r="D35" i="10"/>
  <c r="D40" i="10"/>
  <c r="D39" i="10"/>
  <c r="D41" i="10" l="1"/>
  <c r="L295" i="1"/>
  <c r="E109" i="2" s="1"/>
  <c r="E115" i="2" s="1"/>
  <c r="J309" i="1"/>
  <c r="J338" i="1" s="1"/>
  <c r="F31" i="13" l="1"/>
  <c r="F33" i="13" s="1"/>
  <c r="J352" i="1"/>
  <c r="H648" i="1"/>
  <c r="J648" i="1" s="1"/>
  <c r="L309" i="1"/>
  <c r="C10" i="10"/>
  <c r="G660" i="1" l="1"/>
  <c r="G664" i="1" l="1"/>
  <c r="G667" i="1" l="1"/>
  <c r="G672" i="1"/>
  <c r="C5" i="10" s="1"/>
  <c r="H328" i="1" l="1"/>
  <c r="H338" i="1" s="1"/>
  <c r="H352" i="1" s="1"/>
  <c r="L319" i="1"/>
  <c r="E118" i="2" s="1"/>
  <c r="E128" i="2" s="1"/>
  <c r="E145" i="2" s="1"/>
  <c r="C15" i="10" l="1"/>
  <c r="L328" i="1"/>
  <c r="H660" i="1" l="1"/>
  <c r="L338" i="1"/>
  <c r="L352" i="1" s="1"/>
  <c r="G633" i="1" s="1"/>
  <c r="D31" i="13"/>
  <c r="C28" i="10"/>
  <c r="D15" i="10" s="1"/>
  <c r="H656" i="1" l="1"/>
  <c r="J633" i="1"/>
  <c r="D20" i="10"/>
  <c r="D26" i="10"/>
  <c r="D22" i="10"/>
  <c r="D23" i="10"/>
  <c r="D24" i="10"/>
  <c r="D12" i="10"/>
  <c r="D11" i="10"/>
  <c r="D27" i="10"/>
  <c r="D21" i="10"/>
  <c r="D19" i="10"/>
  <c r="D16" i="10"/>
  <c r="D17" i="10"/>
  <c r="D10" i="10"/>
  <c r="D13" i="10"/>
  <c r="C30" i="10"/>
  <c r="D18" i="10"/>
  <c r="D25" i="10"/>
  <c r="C31" i="13"/>
  <c r="D33" i="13"/>
  <c r="D36" i="13" s="1"/>
  <c r="I660" i="1"/>
  <c r="I664" i="1" s="1"/>
  <c r="H664" i="1"/>
  <c r="H672" i="1" l="1"/>
  <c r="C6" i="10" s="1"/>
  <c r="H667" i="1"/>
  <c r="I672" i="1"/>
  <c r="C7" i="10" s="1"/>
  <c r="I667" i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<sst xmlns="http://schemas.openxmlformats.org/spreadsheetml/2006/main" count="3961" uniqueCount="918">
  <si>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</si>
  <si>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</si>
  <si>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</si>
  <si>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</si>
  <si>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</si>
  <si>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</si>
  <si>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</si>
  <si>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</si>
  <si>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</si>
  <si>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</si>
  <si>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</si>
  <si>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</si>
  <si>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</si>
  <si>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</si>
  <si>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</si>
  <si>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</si>
  <si>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</si>
  <si>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</si>
  <si>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</si>
  <si>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</si>
  <si>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</si>
  <si>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</si>
  <si>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</si>
  <si>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</si>
  <si>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</si>
  <si>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</si>
  <si>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</si>
  <si>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</si>
  <si>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</si>
  <si>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</si>
  <si>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</si>
  <si>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</si>
  <si>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</si>
  <si>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</si>
  <si>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</si>
  <si>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</si>
  <si>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</si>
  <si>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</si>
  <si>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</si>
  <si>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</si>
  <si>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</si>
  <si>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</si>
  <si>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</si>
  <si>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</si>
  <si>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</si>
  <si>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</si>
  <si>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</si>
  <si>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</si>
  <si>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</si>
  <si>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</si>
  <si>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</si>
  <si>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</si>
  <si>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</si>
  <si>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</si>
  <si>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</si>
  <si>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</si>
  <si>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</si>
  <si>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</si>
  <si>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</si>
  <si>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</si>
  <si>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</si>
  <si>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</si>
  <si>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</si>
  <si>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</si>
  <si>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</si>
  <si>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</si>
  <si>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</si>
  <si>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</si>
  <si>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</si>
  <si>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</si>
  <si>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</si>
  <si>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</si>
  <si>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</si>
  <si>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</si>
  <si>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</si>
  <si>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</si>
  <si>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</si>
  <si>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</si>
  <si>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</si>
  <si>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</si>
  <si>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</si>
  <si>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</si>
  <si>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</si>
  <si>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</si>
  <si>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</si>
  <si>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</si>
  <si>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</si>
  <si>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</si>
  <si>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</si>
  <si>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</si>
  <si>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</si>
  <si>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</si>
  <si>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</si>
  <si>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</si>
  <si>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</si>
  <si>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</si>
  <si>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</si>
  <si>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</si>
  <si>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</si>
  <si>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</si>
  <si>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</si>
  <si>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</si>
  <si>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</si>
  <si>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</si>
  <si>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</si>
  <si>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</si>
  <si>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</si>
  <si>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</si>
  <si>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</si>
  <si>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</si>
  <si>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</si>
  <si>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</si>
  <si>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</si>
  <si>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</si>
  <si>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</si>
  <si>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</si>
  <si>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</si>
  <si>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</si>
  <si>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</si>
  <si>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</si>
  <si>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</si>
  <si>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</si>
  <si>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</si>
  <si>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</si>
  <si>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</si>
  <si>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</si>
  <si>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</si>
  <si>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</si>
  <si>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</si>
  <si>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</si>
  <si>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</si>
  <si>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</si>
  <si>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</si>
  <si>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</si>
  <si>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</si>
  <si>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</si>
  <si>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</si>
  <si>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</si>
  <si>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</si>
  <si>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</si>
  <si>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</si>
  <si>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</si>
  <si>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</si>
  <si>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</si>
  <si>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</si>
  <si>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</si>
  <si>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</si>
  <si>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</si>
  <si>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</si>
  <si>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</si>
  <si>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</si>
  <si>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</si>
  <si>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</si>
  <si>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</si>
  <si>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</si>
  <si>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</si>
  <si>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</si>
  <si>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</si>
  <si>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</si>
  <si>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</si>
  <si>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</si>
  <si>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</si>
  <si>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</si>
  <si>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</si>
  <si>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</si>
  <si>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</si>
  <si>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</si>
  <si>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</si>
  <si>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</si>
  <si>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</si>
  <si>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</si>
  <si>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</si>
  <si>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</si>
  <si>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</si>
  <si>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</si>
  <si>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</si>
  <si>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</si>
  <si>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</si>
  <si>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</si>
  <si>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</si>
  <si>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</si>
  <si>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</si>
  <si>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</si>
  <si>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</si>
  <si>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</si>
  <si>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</si>
  <si>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</si>
  <si>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</si>
  <si>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</si>
  <si>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</si>
  <si>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</si>
  <si>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</si>
  <si>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</si>
  <si>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</si>
  <si>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</si>
  <si>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</si>
  <si>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</si>
  <si>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</si>
  <si>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</si>
  <si>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</si>
  <si>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</si>
  <si>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</si>
  <si>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</si>
  <si>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</si>
  <si>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</si>
  <si>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</si>
  <si>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</si>
  <si>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</si>
  <si>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</si>
  <si>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</si>
  <si>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</si>
  <si>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</si>
  <si>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</si>
  <si>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</si>
  <si>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</si>
  <si>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</si>
  <si>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</si>
  <si>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</si>
  <si>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</si>
  <si>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</si>
  <si>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</si>
  <si>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</si>
  <si>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</si>
  <si>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</si>
  <si>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</si>
  <si>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</si>
  <si>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</si>
  <si>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</si>
  <si>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</si>
  <si>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</si>
  <si>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</si>
  <si>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</si>
  <si>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</si>
  <si>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</si>
  <si>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</si>
  <si>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</si>
  <si>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</si>
  <si>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</si>
  <si>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</si>
  <si>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</si>
  <si>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</si>
  <si>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</si>
  <si>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</si>
  <si>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</si>
  <si>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</si>
  <si>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</si>
  <si>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</si>
  <si>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</si>
  <si>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</si>
  <si>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</si>
  <si>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</si>
  <si>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</si>
  <si>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</si>
  <si>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</si>
  <si>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</si>
  <si>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</si>
  <si>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</si>
  <si>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</si>
  <si>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</si>
  <si>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</si>
  <si>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</si>
  <si>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</si>
  <si>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</si>
  <si>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</si>
  <si>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</si>
  <si>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</si>
  <si>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</si>
  <si>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</si>
  <si>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</si>
  <si>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</si>
  <si>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</si>
  <si>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</si>
  <si>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</si>
  <si>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</si>
  <si>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</si>
  <si>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</si>
  <si>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</si>
  <si>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</si>
  <si>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</si>
  <si>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</si>
  <si>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</si>
  <si>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</si>
  <si>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</si>
  <si>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</si>
  <si>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</si>
  <si>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</si>
  <si>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</si>
  <si>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</si>
  <si>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</si>
  <si>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</si>
  <si>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</si>
  <si>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</si>
  <si>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</si>
  <si>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</si>
  <si>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</si>
  <si>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</si>
  <si>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</si>
  <si>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</si>
  <si>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</si>
  <si>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</si>
  <si>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</si>
  <si>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</si>
  <si>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</si>
  <si>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</si>
  <si>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</si>
  <si>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</si>
  <si>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</si>
  <si>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</si>
  <si>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</si>
  <si>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</si>
  <si>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</si>
  <si>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</si>
  <si>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</si>
  <si>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</si>
  <si>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</si>
  <si>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</si>
  <si>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</si>
  <si>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</si>
  <si>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</si>
  <si>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</si>
  <si>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</si>
  <si>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</si>
  <si>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</si>
  <si>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</si>
  <si>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</si>
  <si>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</si>
  <si>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</si>
  <si>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</si>
  <si>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</si>
  <si>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</si>
  <si>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</si>
  <si>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</si>
  <si>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</si>
  <si>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</si>
  <si>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</si>
  <si>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</si>
  <si>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</si>
  <si>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</si>
  <si>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</si>
  <si>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</si>
  <si>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</si>
  <si>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</si>
  <si>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</si>
  <si>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</si>
  <si>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</si>
  <si>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</si>
  <si>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</si>
  <si>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</si>
  <si>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</si>
  <si>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</si>
  <si>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</si>
  <si>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</si>
  <si>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</si>
  <si>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</si>
  <si>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</si>
  <si>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</si>
  <si>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</si>
  <si>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</si>
  <si>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</si>
  <si>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</si>
  <si>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</si>
  <si>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</si>
  <si>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</si>
  <si>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</si>
  <si>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</si>
  <si>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</si>
  <si>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</si>
  <si>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</si>
  <si>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</si>
  <si>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</si>
  <si>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</si>
  <si>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</si>
  <si>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</si>
  <si>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</si>
  <si>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</si>
  <si>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</si>
  <si>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</si>
  <si>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</si>
  <si>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</si>
  <si>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</si>
  <si>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</si>
  <si>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</si>
  <si>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</si>
  <si>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</si>
  <si>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</si>
  <si>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</si>
  <si>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</si>
  <si>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</si>
  <si>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</si>
  <si>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</si>
  <si>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</si>
  <si>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</si>
  <si>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</si>
  <si>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</si>
  <si>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</si>
  <si>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</si>
  <si>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</si>
  <si>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</si>
  <si>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</si>
  <si>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</si>
  <si>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</si>
  <si>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</si>
  <si>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</si>
  <si>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</si>
  <si>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</si>
  <si>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</si>
  <si>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</si>
  <si>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</si>
  <si>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</si>
  <si>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</si>
  <si>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</si>
  <si>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</si>
  <si>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</si>
  <si>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</si>
  <si>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</si>
  <si>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</si>
  <si>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</si>
  <si>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</si>
  <si>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</si>
  <si>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</si>
  <si>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</si>
  <si>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</si>
  <si>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</si>
  <si>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</si>
  <si>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</si>
  <si>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</si>
  <si>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</si>
  <si>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</si>
  <si>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</si>
  <si>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</si>
  <si>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</si>
  <si>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</si>
  <si>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</si>
  <si>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</si>
  <si>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</si>
  <si>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</si>
  <si>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</si>
  <si>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</si>
  <si>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</si>
  <si>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</si>
  <si>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</si>
  <si>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</si>
  <si>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</si>
  <si>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</si>
  <si>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</si>
  <si>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</si>
  <si>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</si>
  <si>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</si>
  <si>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</si>
  <si>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</si>
  <si>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</si>
  <si>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</si>
  <si>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</si>
  <si>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</si>
  <si>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</si>
  <si>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</si>
  <si>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</si>
  <si>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</si>
  <si>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</si>
  <si>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</si>
  <si>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</si>
  <si>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</si>
  <si>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</si>
  <si>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</si>
  <si>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</si>
  <si>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</si>
  <si>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</si>
  <si>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</si>
  <si>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</si>
  <si>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</si>
  <si>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</si>
  <si>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</si>
  <si>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</si>
  <si>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</si>
  <si>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</si>
  <si>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</si>
  <si>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</si>
  <si>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</si>
  <si>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</si>
  <si>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</si>
  <si>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</si>
  <si>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</si>
  <si>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</si>
  <si>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</si>
  <si>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</si>
  <si>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</si>
  <si>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</si>
  <si>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</si>
  <si>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</si>
  <si>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</si>
  <si>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</si>
  <si>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</si>
  <si>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</si>
  <si>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</si>
  <si>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</si>
  <si>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</si>
  <si>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</si>
  <si>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</si>
  <si>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</si>
  <si>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</si>
  <si>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</si>
  <si>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</si>
  <si>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</si>
  <si>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</si>
  <si>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</si>
  <si>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</si>
  <si>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</si>
  <si>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</si>
  <si>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</si>
  <si>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</si>
  <si>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</si>
  <si>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</si>
  <si>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</si>
  <si>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</si>
  <si>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</si>
  <si>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</si>
  <si>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</si>
  <si>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</si>
  <si>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</si>
  <si>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</si>
  <si>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</si>
  <si>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</si>
  <si>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</si>
  <si>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</si>
  <si>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</si>
  <si>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</si>
  <si>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</si>
  <si>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</si>
  <si>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</si>
  <si>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</si>
  <si>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</si>
  <si>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</si>
  <si>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</si>
  <si>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</si>
  <si>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</si>
  <si>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</si>
  <si>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</si>
  <si>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</si>
  <si>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</si>
  <si>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</si>
  <si>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</si>
  <si>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</si>
  <si>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</si>
  <si>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</si>
  <si>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</si>
  <si>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</si>
  <si>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</si>
  <si>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</si>
  <si>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</si>
  <si>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</si>
  <si>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</si>
  <si>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</si>
  <si>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</si>
  <si>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</si>
  <si>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</si>
  <si>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</si>
  <si>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</si>
  <si>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</si>
  <si>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</si>
  <si>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</si>
  <si>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</si>
  <si>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</si>
  <si>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</si>
  <si>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</si>
  <si>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</si>
  <si>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</si>
  <si>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</si>
  <si>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</si>
  <si>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</si>
  <si>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</si>
  <si>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</si>
  <si>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</si>
  <si>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</si>
  <si>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</si>
  <si>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</si>
  <si>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</si>
  <si>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</si>
  <si>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</si>
  <si>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</si>
  <si>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</si>
  <si>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</si>
  <si>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</si>
  <si>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</si>
  <si>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</si>
  <si>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</si>
  <si>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</si>
  <si>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</si>
  <si>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</si>
  <si>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</si>
  <si>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</si>
  <si>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</si>
  <si>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</si>
  <si>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</si>
  <si>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</si>
  <si>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</si>
  <si>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</si>
  <si>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</si>
  <si>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</si>
  <si>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</si>
  <si>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</si>
  <si>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</si>
  <si>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</si>
  <si>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</si>
  <si>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</si>
  <si>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</si>
  <si>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</si>
  <si>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</si>
  <si>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</si>
  <si>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</si>
  <si>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</si>
  <si>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</si>
  <si>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</si>
  <si>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</si>
  <si>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</si>
  <si>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</si>
  <si>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</si>
  <si>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</si>
  <si>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</si>
  <si>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</si>
  <si>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</si>
  <si>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</si>
  <si>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</si>
  <si>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</si>
  <si>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</si>
  <si>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</si>
  <si>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</si>
  <si>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</si>
  <si>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</si>
  <si>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</si>
  <si>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</si>
  <si>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</si>
  <si>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</si>
  <si>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</si>
  <si>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</si>
  <si>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</si>
  <si>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</si>
  <si>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</si>
  <si>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</si>
  <si>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</si>
  <si>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</si>
  <si>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</si>
  <si>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</si>
  <si>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</si>
  <si>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</si>
  <si>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</si>
  <si>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</si>
  <si>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</si>
  <si>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</si>
  <si>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</si>
  <si>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</si>
  <si>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</si>
  <si>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</si>
  <si>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</si>
  <si>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</si>
  <si>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</si>
  <si>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</si>
  <si>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</si>
  <si>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</si>
  <si>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</si>
  <si>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</si>
  <si>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</si>
  <si>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</si>
  <si>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</si>
  <si>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</si>
  <si>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</si>
  <si>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</si>
  <si>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</si>
  <si>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</si>
  <si>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</si>
  <si>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</si>
  <si>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</si>
  <si>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</si>
  <si>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</si>
  <si>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</si>
  <si>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</si>
  <si>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</si>
  <si>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</si>
  <si>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</si>
  <si>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</si>
  <si>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</si>
  <si>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</si>
  <si>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</si>
  <si>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</si>
  <si>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</si>
  <si>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</si>
  <si>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</si>
  <si>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</si>
  <si>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</si>
  <si>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</si>
  <si>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</si>
  <si>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</si>
  <si>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</si>
  <si>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</si>
  <si>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</si>
  <si>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</si>
  <si>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</si>
  <si>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</si>
  <si>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</si>
  <si>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</si>
  <si>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</si>
  <si>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</si>
  <si>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</si>
  <si>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</si>
  <si>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</si>
  <si>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</si>
  <si>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</si>
  <si>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</si>
  <si>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</si>
  <si>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</si>
  <si>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</si>
  <si>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</si>
  <si>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</si>
  <si>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</si>
  <si>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</si>
  <si>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</si>
  <si>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</si>
  <si>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</si>
  <si>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</si>
  <si>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</si>
  <si>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</si>
  <si>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</si>
  <si>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</si>
  <si>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</si>
  <si>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</si>
  <si>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</si>
  <si>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</si>
  <si>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</si>
  <si>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</si>
  <si>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</si>
  <si>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</si>
  <si>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</si>
  <si>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</si>
  <si>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</si>
  <si>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</si>
  <si>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</si>
  <si>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</si>
  <si>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</si>
  <si>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</si>
  <si>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</si>
  <si>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</si>
  <si>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</si>
  <si>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</si>
  <si>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</si>
  <si>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</si>
  <si>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</si>
  <si>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</si>
  <si>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</si>
  <si>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</si>
  <si>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</si>
  <si>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</si>
  <si>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</si>
  <si>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</si>
  <si>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</si>
  <si>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</si>
  <si>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</si>
  <si>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</si>
  <si>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</si>
  <si>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</si>
  <si>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</si>
  <si>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</si>
  <si>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</si>
  <si>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</si>
  <si>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</si>
  <si>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</si>
  <si>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</si>
  <si>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</si>
  <si>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</si>
  <si>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</si>
  <si>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</si>
  <si>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</si>
  <si>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</si>
  <si>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</si>
  <si>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</si>
  <si>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</si>
  <si>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</si>
  <si>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</si>
  <si>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</si>
  <si>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</si>
  <si>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</si>
  <si>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</si>
  <si>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</si>
  <si>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</si>
  <si>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</si>
  <si>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</si>
  <si>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</si>
  <si>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</si>
  <si>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</si>
  <si>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</si>
  <si>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</si>
  <si>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</si>
  <si>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</si>
  <si>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</si>
  <si>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</si>
  <si>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</si>
  <si>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</si>
  <si>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</si>
  <si>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</si>
  <si>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</si>
  <si>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</si>
  <si>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</si>
  <si>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</si>
  <si>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</si>
  <si>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</si>
  <si>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</si>
  <si>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</si>
  <si>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</si>
  <si>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</si>
  <si>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</si>
  <si>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</si>
  <si>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</si>
  <si>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</si>
  <si>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</si>
  <si>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</si>
  <si>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</si>
  <si>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</si>
  <si>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</si>
  <si>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</si>
  <si>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</si>
  <si>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</si>
  <si>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</si>
  <si>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</si>
  <si>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</si>
  <si>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</si>
  <si>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</si>
  <si>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</si>
  <si>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</si>
  <si>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</si>
  <si>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</si>
  <si>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</si>
  <si>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</si>
  <si>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</si>
  <si>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</si>
  <si>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</si>
  <si>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</si>
  <si>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</si>
  <si>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</si>
  <si>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</si>
  <si>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</si>
  <si>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</si>
  <si>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</si>
  <si>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</si>
  <si>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</si>
  <si>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</si>
  <si>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</si>
  <si>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</si>
  <si>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</si>
  <si>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</si>
  <si>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</si>
  <si>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</si>
  <si>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</si>
  <si>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</si>
  <si>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</si>
  <si>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</si>
  <si>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</si>
  <si>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</si>
  <si>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</si>
  <si>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</si>
  <si>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</si>
  <si>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</si>
  <si>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</si>
  <si>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</si>
  <si>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</si>
  <si>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</si>
  <si>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</si>
  <si>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</si>
  <si>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</si>
  <si>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</si>
  <si>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</si>
  <si>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</si>
  <si>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</si>
  <si>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</si>
  <si>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</si>
  <si>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</si>
  <si>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</si>
  <si>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</si>
  <si>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</si>
  <si>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</si>
  <si>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</si>
  <si>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</si>
  <si>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</si>
  <si>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</si>
  <si>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</si>
  <si>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</si>
  <si>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</si>
  <si>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</si>
  <si>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</si>
  <si>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</si>
  <si>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</si>
  <si>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</si>
  <si>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</si>
  <si>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</si>
  <si>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</si>
  <si>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</si>
  <si>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</si>
  <si>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</si>
  <si>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</si>
  <si>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</si>
  <si>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</si>
  <si>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</si>
  <si>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</si>
  <si>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</si>
  <si>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</si>
  <si>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</si>
  <si>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</si>
  <si>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</si>
  <si>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</si>
  <si>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</si>
  <si>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</si>
  <si>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</si>
  <si>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</si>
  <si>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</si>
  <si>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</si>
  <si>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FRANKLIN SCHOOL DISTRICT</t>
  </si>
  <si>
    <t>`</t>
  </si>
  <si>
    <t>8/99</t>
  </si>
  <si>
    <t>8/19</t>
  </si>
  <si>
    <t>05/06</t>
  </si>
  <si>
    <t>05/26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</si>
</sst>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185</v>
      </c>
      <c r="C2" s="21">
        <v>185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-9293.3799999999992</v>
      </c>
      <c r="G9" s="18">
        <v>68953.7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150477.43</v>
      </c>
      <c r="G13" s="18">
        <v>64826.46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99000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10742.41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200000</v>
      </c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440184.05</v>
      </c>
      <c r="G19" s="41">
        <f>SUM(G9:G18)</f>
        <v>144522.57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90706.62</v>
      </c>
      <c r="G24" s="18">
        <v>144522.57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20000</v>
      </c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110706.62</v>
      </c>
      <c r="G32" s="41">
        <f>SUM(G22:G31)</f>
        <v>144522.57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200000</v>
      </c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129477.43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329477.43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440184.05</v>
      </c>
      <c r="G52" s="41">
        <f>G51+G32</f>
        <v>144522.57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3571663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3571663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199234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199234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2634</v>
      </c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2634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>
        <v>144</v>
      </c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76618.509999999995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7520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4000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12763.25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132942.66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157225.91</v>
      </c>
      <c r="G111" s="41">
        <f>SUM(G96:G110)</f>
        <v>76762.509999999995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3930756.91</v>
      </c>
      <c r="G112" s="41">
        <f>G60+G111</f>
        <v>76762.509999999995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7929036.2599999998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1177459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8333.99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9114829.25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181944.16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83965.06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8887.6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1236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274796.81999999995</v>
      </c>
      <c r="G136" s="41">
        <f>SUM(G123:G135)</f>
        <v>1236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9389626.0700000003</v>
      </c>
      <c r="G140" s="41">
        <f>G121+SUM(G136:G137)</f>
        <v>1236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230092.73</v>
      </c>
      <c r="G146" s="18"/>
      <c r="H146" s="18">
        <v>227260.79</v>
      </c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230092.73</v>
      </c>
      <c r="G147" s="41">
        <f>SUM(G145:G146)</f>
        <v>0</v>
      </c>
      <c r="H147" s="41">
        <f>SUM(H145:H146)</f>
        <v>227260.79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>
        <v>218006.73</v>
      </c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538565.26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403667.68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 t="s">
        <v>286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22970.080000000002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466815.89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179378.47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179378.47</v>
      </c>
      <c r="G162" s="41">
        <f>SUM(G150:G161)</f>
        <v>466815.89</v>
      </c>
      <c r="H162" s="41">
        <f>SUM(H150:H161)</f>
        <v>1183209.75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409471.2</v>
      </c>
      <c r="G169" s="41">
        <f>G147+G162+SUM(G163:G168)</f>
        <v>466815.89</v>
      </c>
      <c r="H169" s="41">
        <f>H147+H162+SUM(H163:H168)</f>
        <v>1410470.54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44522.57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44522.57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260000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260000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260000</v>
      </c>
      <c r="G192" s="41">
        <f>G183+SUM(G188:G191)</f>
        <v>44522.57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13989854.18</v>
      </c>
      <c r="G193" s="47">
        <f>G112+G140+G169+G192</f>
        <v>589336.97</v>
      </c>
      <c r="H193" s="47">
        <f>H112+H140+H169+H192</f>
        <v>1410470.54</v>
      </c>
      <c r="I193" s="47">
        <f>I112+I140+I169+I192</f>
        <v>0</v>
      </c>
      <c r="J193" s="47">
        <f>J112+J140+J192</f>
        <v>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1251973.1100000001</v>
      </c>
      <c r="G197" s="18">
        <v>580510.09</v>
      </c>
      <c r="H197" s="18">
        <v>30343.06</v>
      </c>
      <c r="I197" s="18">
        <v>32653.64</v>
      </c>
      <c r="J197" s="18"/>
      <c r="K197" s="18"/>
      <c r="L197" s="19">
        <f>SUM(F197:K197)</f>
        <v>1895479.9000000001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440901.49</v>
      </c>
      <c r="G198" s="18">
        <v>190141.99</v>
      </c>
      <c r="H198" s="18">
        <v>230737.86</v>
      </c>
      <c r="I198" s="18">
        <v>3066.16</v>
      </c>
      <c r="J198" s="18">
        <v>9.75</v>
      </c>
      <c r="K198" s="18">
        <v>206.7</v>
      </c>
      <c r="L198" s="19">
        <f>SUM(F198:K198)</f>
        <v>865063.95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500</v>
      </c>
      <c r="G200" s="18">
        <v>116.6</v>
      </c>
      <c r="H200" s="18"/>
      <c r="I200" s="18"/>
      <c r="J200" s="18"/>
      <c r="K200" s="18"/>
      <c r="L200" s="19">
        <f>SUM(F200:K200)</f>
        <v>616.6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219337</v>
      </c>
      <c r="G202" s="18">
        <v>81629.81</v>
      </c>
      <c r="H202" s="18">
        <v>247109</v>
      </c>
      <c r="I202" s="18">
        <v>3881.27</v>
      </c>
      <c r="J202" s="18">
        <v>994</v>
      </c>
      <c r="K202" s="18">
        <v>150</v>
      </c>
      <c r="L202" s="19">
        <f t="shared" ref="L202:L208" si="0">SUM(F202:K202)</f>
        <v>553101.08000000007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15998.97</v>
      </c>
      <c r="G203" s="18">
        <v>10204.77</v>
      </c>
      <c r="H203" s="18">
        <f>2695.84+11216.13</f>
        <v>13911.97</v>
      </c>
      <c r="I203" s="18">
        <v>1036.5</v>
      </c>
      <c r="J203" s="18">
        <v>5651.39</v>
      </c>
      <c r="K203" s="18"/>
      <c r="L203" s="19">
        <f t="shared" si="0"/>
        <v>46803.6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702</v>
      </c>
      <c r="G204" s="18">
        <v>53.7</v>
      </c>
      <c r="H204" s="18">
        <v>292000.93</v>
      </c>
      <c r="I204" s="18">
        <v>122.51</v>
      </c>
      <c r="J204" s="18"/>
      <c r="K204" s="18">
        <v>1921.67</v>
      </c>
      <c r="L204" s="19">
        <f t="shared" si="0"/>
        <v>294800.81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134912.20000000001</v>
      </c>
      <c r="G205" s="18">
        <v>62061.99</v>
      </c>
      <c r="H205" s="18">
        <v>7297.3</v>
      </c>
      <c r="I205" s="18">
        <v>7.27</v>
      </c>
      <c r="J205" s="18"/>
      <c r="K205" s="18"/>
      <c r="L205" s="19">
        <f t="shared" si="0"/>
        <v>204278.75999999998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129198.38</v>
      </c>
      <c r="G207" s="18">
        <v>52778.3</v>
      </c>
      <c r="H207" s="18">
        <v>56063.94</v>
      </c>
      <c r="I207" s="18">
        <v>50715.31</v>
      </c>
      <c r="J207" s="18">
        <v>11005.66</v>
      </c>
      <c r="K207" s="18"/>
      <c r="L207" s="19">
        <f t="shared" si="0"/>
        <v>299761.58999999997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146799.09</v>
      </c>
      <c r="I208" s="18"/>
      <c r="J208" s="18"/>
      <c r="K208" s="18"/>
      <c r="L208" s="19">
        <f t="shared" si="0"/>
        <v>146799.09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15390.84</v>
      </c>
      <c r="G209" s="18">
        <v>4974.9799999999996</v>
      </c>
      <c r="H209" s="18"/>
      <c r="I209" s="18"/>
      <c r="J209" s="18"/>
      <c r="K209" s="18"/>
      <c r="L209" s="19">
        <f>SUM(F209:K209)</f>
        <v>20365.82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2208913.9899999998</v>
      </c>
      <c r="G211" s="41">
        <f t="shared" si="1"/>
        <v>982472.23</v>
      </c>
      <c r="H211" s="41">
        <f t="shared" si="1"/>
        <v>1024263.15</v>
      </c>
      <c r="I211" s="41">
        <f t="shared" si="1"/>
        <v>91482.66</v>
      </c>
      <c r="J211" s="41">
        <f t="shared" si="1"/>
        <v>17660.8</v>
      </c>
      <c r="K211" s="41">
        <f t="shared" si="1"/>
        <v>2278.37</v>
      </c>
      <c r="L211" s="41">
        <f t="shared" si="1"/>
        <v>4327071.2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1153480.99</v>
      </c>
      <c r="G215" s="18">
        <v>485016.89</v>
      </c>
      <c r="H215" s="18">
        <v>24969.45</v>
      </c>
      <c r="I215" s="18">
        <v>37930.31</v>
      </c>
      <c r="J215" s="18">
        <v>854.99</v>
      </c>
      <c r="K215" s="18">
        <v>399.6</v>
      </c>
      <c r="L215" s="19">
        <f>SUM(F215:K215)</f>
        <v>1702652.23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369738.48</v>
      </c>
      <c r="G216" s="18">
        <v>159922.70000000001</v>
      </c>
      <c r="H216" s="18">
        <v>389695.45</v>
      </c>
      <c r="I216" s="18">
        <v>1183.44</v>
      </c>
      <c r="J216" s="18">
        <v>7</v>
      </c>
      <c r="K216" s="18">
        <v>148.4</v>
      </c>
      <c r="L216" s="19">
        <f>SUM(F216:K216)</f>
        <v>920695.46999999986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32204.9</v>
      </c>
      <c r="G218" s="18">
        <v>9210.85</v>
      </c>
      <c r="H218" s="18">
        <v>7600.68</v>
      </c>
      <c r="I218" s="18">
        <v>3363.41</v>
      </c>
      <c r="J218" s="18">
        <v>3124.59</v>
      </c>
      <c r="K218" s="18">
        <v>592.5</v>
      </c>
      <c r="L218" s="19">
        <f>SUM(F218:K218)</f>
        <v>56096.929999999993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199223.57</v>
      </c>
      <c r="G220" s="18">
        <v>92186.15</v>
      </c>
      <c r="H220" s="18">
        <v>92937.85</v>
      </c>
      <c r="I220" s="18">
        <v>3514.72</v>
      </c>
      <c r="J220" s="18"/>
      <c r="K220" s="18">
        <v>378</v>
      </c>
      <c r="L220" s="19">
        <f t="shared" ref="L220:L226" si="2">SUM(F220:K220)</f>
        <v>388240.28999999992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18503.64</v>
      </c>
      <c r="G221" s="18">
        <v>10513.99</v>
      </c>
      <c r="H221" s="18">
        <v>14386.08</v>
      </c>
      <c r="I221" s="18">
        <v>1377.81</v>
      </c>
      <c r="J221" s="18">
        <v>5302.97</v>
      </c>
      <c r="K221" s="18"/>
      <c r="L221" s="19">
        <f t="shared" si="2"/>
        <v>50084.49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504</v>
      </c>
      <c r="G222" s="18">
        <v>38.56</v>
      </c>
      <c r="H222" s="18">
        <v>209641.7</v>
      </c>
      <c r="I222" s="18">
        <v>87.95</v>
      </c>
      <c r="J222" s="18"/>
      <c r="K222" s="18">
        <v>1379.66</v>
      </c>
      <c r="L222" s="19">
        <f t="shared" si="2"/>
        <v>211651.87000000002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184305.6</v>
      </c>
      <c r="G223" s="18">
        <v>86341.53</v>
      </c>
      <c r="H223" s="18">
        <v>8386.39</v>
      </c>
      <c r="I223" s="18">
        <v>542.42999999999995</v>
      </c>
      <c r="J223" s="18"/>
      <c r="K223" s="18">
        <v>2814.58</v>
      </c>
      <c r="L223" s="19">
        <f t="shared" si="2"/>
        <v>282390.53000000003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157043.21</v>
      </c>
      <c r="G225" s="18">
        <v>66747.83</v>
      </c>
      <c r="H225" s="18">
        <v>61594.42</v>
      </c>
      <c r="I225" s="18">
        <v>108286.73</v>
      </c>
      <c r="J225" s="18">
        <v>14875</v>
      </c>
      <c r="K225" s="18"/>
      <c r="L225" s="19">
        <f t="shared" si="2"/>
        <v>408547.18999999994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149156.01999999999</v>
      </c>
      <c r="I226" s="18"/>
      <c r="J226" s="18"/>
      <c r="K226" s="18"/>
      <c r="L226" s="19">
        <f t="shared" si="2"/>
        <v>149156.01999999999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11049.83</v>
      </c>
      <c r="G227" s="18">
        <v>3571.78</v>
      </c>
      <c r="H227" s="18"/>
      <c r="I227" s="18"/>
      <c r="J227" s="18"/>
      <c r="K227" s="18"/>
      <c r="L227" s="19">
        <f>SUM(F227:K227)</f>
        <v>14621.61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2126054.2200000002</v>
      </c>
      <c r="G229" s="41">
        <f>SUM(G215:G228)</f>
        <v>913550.28000000014</v>
      </c>
      <c r="H229" s="41">
        <f>SUM(H215:H228)</f>
        <v>958368.04</v>
      </c>
      <c r="I229" s="41">
        <f>SUM(I215:I228)</f>
        <v>156286.79999999999</v>
      </c>
      <c r="J229" s="41">
        <f>SUM(J215:J228)</f>
        <v>24164.55</v>
      </c>
      <c r="K229" s="41">
        <f t="shared" si="3"/>
        <v>5712.74</v>
      </c>
      <c r="L229" s="41">
        <f t="shared" si="3"/>
        <v>4184136.6300000004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1071502.6299999999</v>
      </c>
      <c r="G233" s="18">
        <v>412057.8</v>
      </c>
      <c r="H233" s="18">
        <v>153611.78</v>
      </c>
      <c r="I233" s="18">
        <v>44069.51</v>
      </c>
      <c r="J233" s="18">
        <v>4097.41</v>
      </c>
      <c r="K233" s="18">
        <v>4369.3999999999996</v>
      </c>
      <c r="L233" s="19">
        <f>SUM(F233:K233)</f>
        <v>1689708.5299999998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428227.59</v>
      </c>
      <c r="G234" s="18">
        <v>192775.28</v>
      </c>
      <c r="H234" s="18">
        <v>379201.99</v>
      </c>
      <c r="I234" s="18">
        <v>1640.59</v>
      </c>
      <c r="J234" s="18">
        <v>8.25</v>
      </c>
      <c r="K234" s="18">
        <v>174.9</v>
      </c>
      <c r="L234" s="19">
        <f>SUM(F234:K234)</f>
        <v>1002028.6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60445.85</v>
      </c>
      <c r="I235" s="18"/>
      <c r="J235" s="18"/>
      <c r="K235" s="18"/>
      <c r="L235" s="19">
        <f>SUM(F235:K235)</f>
        <v>60445.85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95601.98</v>
      </c>
      <c r="G236" s="18">
        <v>32967.47</v>
      </c>
      <c r="H236" s="18">
        <v>29254.22</v>
      </c>
      <c r="I236" s="18">
        <v>9401.73</v>
      </c>
      <c r="J236" s="18">
        <v>5014.8599999999997</v>
      </c>
      <c r="K236" s="18">
        <v>12595.3</v>
      </c>
      <c r="L236" s="19">
        <f>SUM(F236:K236)</f>
        <v>184835.55999999997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257798.39</v>
      </c>
      <c r="G238" s="18">
        <v>122078.95</v>
      </c>
      <c r="H238" s="18">
        <v>99159.95</v>
      </c>
      <c r="I238" s="18">
        <v>3237.29</v>
      </c>
      <c r="J238" s="18"/>
      <c r="K238" s="18"/>
      <c r="L238" s="19">
        <f t="shared" ref="L238:L244" si="4">SUM(F238:K238)</f>
        <v>482274.58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66235.25</v>
      </c>
      <c r="G239" s="18">
        <v>31620.560000000001</v>
      </c>
      <c r="H239" s="18">
        <v>15060.4</v>
      </c>
      <c r="I239" s="18">
        <v>4429.07</v>
      </c>
      <c r="J239" s="18">
        <v>12599.92</v>
      </c>
      <c r="K239" s="18"/>
      <c r="L239" s="19">
        <f t="shared" si="4"/>
        <v>129945.2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594</v>
      </c>
      <c r="G240" s="18">
        <v>45.44</v>
      </c>
      <c r="H240" s="18">
        <v>247077.71</v>
      </c>
      <c r="I240" s="18">
        <v>103.66</v>
      </c>
      <c r="J240" s="18"/>
      <c r="K240" s="18">
        <v>1626.03</v>
      </c>
      <c r="L240" s="19">
        <f t="shared" si="4"/>
        <v>249446.84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218607.54</v>
      </c>
      <c r="G241" s="18">
        <v>94956.28</v>
      </c>
      <c r="H241" s="18">
        <v>10960.32</v>
      </c>
      <c r="I241" s="18"/>
      <c r="J241" s="18"/>
      <c r="K241" s="18">
        <v>7669.55</v>
      </c>
      <c r="L241" s="19">
        <f t="shared" si="4"/>
        <v>332193.69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178542.83</v>
      </c>
      <c r="G243" s="18">
        <v>72599.14</v>
      </c>
      <c r="H243" s="18">
        <v>63596.28</v>
      </c>
      <c r="I243" s="18">
        <v>155570.4</v>
      </c>
      <c r="J243" s="18">
        <v>2685.88</v>
      </c>
      <c r="K243" s="18"/>
      <c r="L243" s="19">
        <f t="shared" si="4"/>
        <v>472994.53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241919.04</v>
      </c>
      <c r="I244" s="18"/>
      <c r="J244" s="18"/>
      <c r="K244" s="18"/>
      <c r="L244" s="19">
        <f t="shared" si="4"/>
        <v>241919.04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13023.02</v>
      </c>
      <c r="G245" s="18">
        <v>4209.6000000000004</v>
      </c>
      <c r="H245" s="18"/>
      <c r="I245" s="18"/>
      <c r="J245" s="18"/>
      <c r="K245" s="18"/>
      <c r="L245" s="19">
        <f>SUM(F245:K245)</f>
        <v>17232.620000000003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2330133.23</v>
      </c>
      <c r="G247" s="41">
        <f t="shared" si="5"/>
        <v>963310.5199999999</v>
      </c>
      <c r="H247" s="41">
        <f t="shared" si="5"/>
        <v>1300287.5399999998</v>
      </c>
      <c r="I247" s="41">
        <f t="shared" si="5"/>
        <v>218452.25</v>
      </c>
      <c r="J247" s="41">
        <f t="shared" si="5"/>
        <v>24406.320000000003</v>
      </c>
      <c r="K247" s="41">
        <f t="shared" si="5"/>
        <v>26435.179999999997</v>
      </c>
      <c r="L247" s="41">
        <f t="shared" si="5"/>
        <v>4863025.04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17775</v>
      </c>
      <c r="G251" s="18">
        <v>1625.63</v>
      </c>
      <c r="H251" s="18"/>
      <c r="I251" s="18">
        <v>370.5</v>
      </c>
      <c r="J251" s="18">
        <v>996.94</v>
      </c>
      <c r="K251" s="18"/>
      <c r="L251" s="19">
        <f t="shared" si="6"/>
        <v>20768.07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17775</v>
      </c>
      <c r="G256" s="41">
        <f t="shared" si="7"/>
        <v>1625.63</v>
      </c>
      <c r="H256" s="41">
        <f t="shared" si="7"/>
        <v>0</v>
      </c>
      <c r="I256" s="41">
        <f t="shared" si="7"/>
        <v>370.5</v>
      </c>
      <c r="J256" s="41">
        <f t="shared" si="7"/>
        <v>996.94</v>
      </c>
      <c r="K256" s="41">
        <f t="shared" si="7"/>
        <v>0</v>
      </c>
      <c r="L256" s="41">
        <f>SUM(F256:K256)</f>
        <v>20768.07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6682876.4399999995</v>
      </c>
      <c r="G257" s="41">
        <f t="shared" si="8"/>
        <v>2860958.66</v>
      </c>
      <c r="H257" s="41">
        <f t="shared" si="8"/>
        <v>3282918.7299999995</v>
      </c>
      <c r="I257" s="41">
        <f t="shared" si="8"/>
        <v>466592.20999999996</v>
      </c>
      <c r="J257" s="41">
        <f t="shared" si="8"/>
        <v>67228.61</v>
      </c>
      <c r="K257" s="41">
        <f t="shared" si="8"/>
        <v>34426.289999999994</v>
      </c>
      <c r="L257" s="41">
        <f t="shared" si="8"/>
        <v>13395000.940000001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99808.13</v>
      </c>
      <c r="L260" s="19">
        <f>SUM(F260:K260)</f>
        <v>99808.13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121045.11</v>
      </c>
      <c r="L261" s="19">
        <f>SUM(F261:K261)</f>
        <v>121045.11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44522.57</v>
      </c>
      <c r="L263" s="19">
        <f>SUM(F263:K263)</f>
        <v>44522.57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265375.81</v>
      </c>
      <c r="L270" s="41">
        <f t="shared" si="9"/>
        <v>265375.81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6682876.4399999995</v>
      </c>
      <c r="G271" s="42">
        <f t="shared" si="11"/>
        <v>2860958.66</v>
      </c>
      <c r="H271" s="42">
        <f t="shared" si="11"/>
        <v>3282918.7299999995</v>
      </c>
      <c r="I271" s="42">
        <f t="shared" si="11"/>
        <v>466592.20999999996</v>
      </c>
      <c r="J271" s="42">
        <f t="shared" si="11"/>
        <v>67228.61</v>
      </c>
      <c r="K271" s="42">
        <f t="shared" si="11"/>
        <v>299802.09999999998</v>
      </c>
      <c r="L271" s="42">
        <f t="shared" si="11"/>
        <v>13660376.750000002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258191.57</v>
      </c>
      <c r="G276" s="18">
        <v>90563.81</v>
      </c>
      <c r="H276" s="18">
        <v>18086.400000000001</v>
      </c>
      <c r="I276" s="18">
        <v>4837</v>
      </c>
      <c r="J276" s="18">
        <v>2259.6799999999998</v>
      </c>
      <c r="K276" s="18"/>
      <c r="L276" s="19">
        <f>SUM(F276:K276)</f>
        <v>373938.46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51093.9</v>
      </c>
      <c r="G277" s="18">
        <v>28245.66</v>
      </c>
      <c r="H277" s="18">
        <v>5683.07</v>
      </c>
      <c r="I277" s="18"/>
      <c r="J277" s="18"/>
      <c r="K277" s="18"/>
      <c r="L277" s="19">
        <f>SUM(F277:K277)</f>
        <v>85022.63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1950</v>
      </c>
      <c r="G281" s="18">
        <v>494.92</v>
      </c>
      <c r="H281" s="18">
        <v>19781.38</v>
      </c>
      <c r="I281" s="18"/>
      <c r="J281" s="18"/>
      <c r="K281" s="18"/>
      <c r="L281" s="19">
        <f t="shared" ref="L281:L287" si="12">SUM(F281:K281)</f>
        <v>22226.300000000003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27396.03</v>
      </c>
      <c r="G282" s="18">
        <v>6565.67</v>
      </c>
      <c r="H282" s="18">
        <v>16592.47</v>
      </c>
      <c r="I282" s="18">
        <v>266.39</v>
      </c>
      <c r="J282" s="18"/>
      <c r="K282" s="18"/>
      <c r="L282" s="19">
        <f t="shared" si="12"/>
        <v>50820.56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68763.48</v>
      </c>
      <c r="G283" s="18">
        <v>31750.71</v>
      </c>
      <c r="H283" s="18">
        <v>9489.33</v>
      </c>
      <c r="I283" s="18">
        <v>1271.55</v>
      </c>
      <c r="J283" s="18">
        <v>1365</v>
      </c>
      <c r="K283" s="18"/>
      <c r="L283" s="19">
        <f t="shared" si="12"/>
        <v>112640.07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3531.7</v>
      </c>
      <c r="I287" s="18"/>
      <c r="J287" s="18"/>
      <c r="K287" s="18"/>
      <c r="L287" s="19">
        <f t="shared" si="12"/>
        <v>3531.7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407394.98</v>
      </c>
      <c r="G290" s="42">
        <f t="shared" si="13"/>
        <v>157620.76999999999</v>
      </c>
      <c r="H290" s="42">
        <f t="shared" si="13"/>
        <v>73164.350000000006</v>
      </c>
      <c r="I290" s="42">
        <f t="shared" si="13"/>
        <v>6374.9400000000005</v>
      </c>
      <c r="J290" s="42">
        <f t="shared" si="13"/>
        <v>3624.68</v>
      </c>
      <c r="K290" s="42">
        <f t="shared" si="13"/>
        <v>0</v>
      </c>
      <c r="L290" s="41">
        <f t="shared" si="13"/>
        <v>648179.72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186966.31</v>
      </c>
      <c r="G295" s="18">
        <v>65580.72</v>
      </c>
      <c r="H295" s="18">
        <v>13053.6</v>
      </c>
      <c r="I295" s="18">
        <v>3502.65</v>
      </c>
      <c r="J295" s="18">
        <v>1636.32</v>
      </c>
      <c r="K295" s="18"/>
      <c r="L295" s="19">
        <f>SUM(F295:K295)</f>
        <v>270739.60000000003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36682.800000000003</v>
      </c>
      <c r="G296" s="18">
        <v>20278.939999999999</v>
      </c>
      <c r="H296" s="18">
        <v>4080.15</v>
      </c>
      <c r="I296" s="18"/>
      <c r="J296" s="18"/>
      <c r="K296" s="18"/>
      <c r="L296" s="19">
        <f>SUM(F296:K296)</f>
        <v>61041.890000000007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4900</v>
      </c>
      <c r="G300" s="18">
        <v>1171.52</v>
      </c>
      <c r="H300" s="18">
        <v>18889.75</v>
      </c>
      <c r="I300" s="18"/>
      <c r="J300" s="18"/>
      <c r="K300" s="18"/>
      <c r="L300" s="19">
        <f t="shared" ref="L300:L306" si="14">SUM(F300:K300)</f>
        <v>24961.27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19668.95</v>
      </c>
      <c r="G301" s="18">
        <v>4713.8100000000004</v>
      </c>
      <c r="H301" s="18">
        <v>12637.14</v>
      </c>
      <c r="I301" s="18">
        <v>6046.1</v>
      </c>
      <c r="J301" s="18">
        <v>32785</v>
      </c>
      <c r="K301" s="18"/>
      <c r="L301" s="19">
        <f t="shared" si="14"/>
        <v>75851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49368.65</v>
      </c>
      <c r="G302" s="18">
        <v>22795.39</v>
      </c>
      <c r="H302" s="18">
        <v>6812.86</v>
      </c>
      <c r="I302" s="18">
        <v>912.91</v>
      </c>
      <c r="J302" s="18">
        <v>980</v>
      </c>
      <c r="K302" s="18"/>
      <c r="L302" s="19">
        <f t="shared" si="14"/>
        <v>80869.810000000012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297586.71000000002</v>
      </c>
      <c r="G309" s="42">
        <f t="shared" si="15"/>
        <v>114540.38</v>
      </c>
      <c r="H309" s="42">
        <f t="shared" si="15"/>
        <v>55473.5</v>
      </c>
      <c r="I309" s="42">
        <f t="shared" si="15"/>
        <v>10461.66</v>
      </c>
      <c r="J309" s="42">
        <f t="shared" si="15"/>
        <v>35401.32</v>
      </c>
      <c r="K309" s="42">
        <f t="shared" si="15"/>
        <v>0</v>
      </c>
      <c r="L309" s="41">
        <f t="shared" si="15"/>
        <v>513463.57000000007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>
        <v>5940</v>
      </c>
      <c r="I314" s="18"/>
      <c r="J314" s="18"/>
      <c r="K314" s="18"/>
      <c r="L314" s="19">
        <f>SUM(F314:K314)</f>
        <v>5940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43233.3</v>
      </c>
      <c r="G315" s="18">
        <v>23900.17</v>
      </c>
      <c r="H315" s="18">
        <v>4808.76</v>
      </c>
      <c r="I315" s="18"/>
      <c r="J315" s="18"/>
      <c r="K315" s="18"/>
      <c r="L315" s="19">
        <f>SUM(F315:K315)</f>
        <v>71942.23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3650</v>
      </c>
      <c r="G319" s="18">
        <v>926.38</v>
      </c>
      <c r="H319" s="18">
        <v>979.49</v>
      </c>
      <c r="I319" s="18"/>
      <c r="J319" s="18"/>
      <c r="K319" s="18"/>
      <c r="L319" s="19">
        <f t="shared" ref="L319:L325" si="16">SUM(F319:K319)</f>
        <v>5555.87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27441.26</v>
      </c>
      <c r="G320" s="18">
        <v>6769.26</v>
      </c>
      <c r="H320" s="18">
        <v>11861.48</v>
      </c>
      <c r="I320" s="18">
        <v>1036.24</v>
      </c>
      <c r="J320" s="18"/>
      <c r="K320" s="18"/>
      <c r="L320" s="19">
        <f t="shared" si="16"/>
        <v>47108.24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58184.480000000003</v>
      </c>
      <c r="G321" s="18">
        <v>26865.99</v>
      </c>
      <c r="H321" s="18">
        <v>8029.44</v>
      </c>
      <c r="I321" s="18">
        <v>1075.92</v>
      </c>
      <c r="J321" s="18">
        <v>1155</v>
      </c>
      <c r="K321" s="18"/>
      <c r="L321" s="19">
        <f t="shared" si="16"/>
        <v>95310.83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132509.04</v>
      </c>
      <c r="G328" s="42">
        <f t="shared" si="17"/>
        <v>58461.8</v>
      </c>
      <c r="H328" s="42">
        <f t="shared" si="17"/>
        <v>31619.17</v>
      </c>
      <c r="I328" s="42">
        <f t="shared" si="17"/>
        <v>2112.16</v>
      </c>
      <c r="J328" s="42">
        <f t="shared" si="17"/>
        <v>1155</v>
      </c>
      <c r="K328" s="42">
        <f t="shared" si="17"/>
        <v>0</v>
      </c>
      <c r="L328" s="41">
        <f t="shared" si="17"/>
        <v>225857.16999999998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16126.5</v>
      </c>
      <c r="G333" s="18">
        <v>3762.93</v>
      </c>
      <c r="H333" s="18">
        <v>500</v>
      </c>
      <c r="I333" s="18">
        <v>2580.65</v>
      </c>
      <c r="J333" s="18"/>
      <c r="K333" s="18"/>
      <c r="L333" s="19">
        <f t="shared" si="18"/>
        <v>22970.080000000002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16126.5</v>
      </c>
      <c r="G337" s="41">
        <f t="shared" si="19"/>
        <v>3762.93</v>
      </c>
      <c r="H337" s="41">
        <f t="shared" si="19"/>
        <v>500</v>
      </c>
      <c r="I337" s="41">
        <f t="shared" si="19"/>
        <v>2580.65</v>
      </c>
      <c r="J337" s="41">
        <f t="shared" si="19"/>
        <v>0</v>
      </c>
      <c r="K337" s="41">
        <f t="shared" si="19"/>
        <v>0</v>
      </c>
      <c r="L337" s="41">
        <f t="shared" si="18"/>
        <v>22970.080000000002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853617.23</v>
      </c>
      <c r="G338" s="41">
        <f t="shared" si="20"/>
        <v>334385.88</v>
      </c>
      <c r="H338" s="41">
        <f t="shared" si="20"/>
        <v>160757.02000000002</v>
      </c>
      <c r="I338" s="41">
        <f t="shared" si="20"/>
        <v>21529.41</v>
      </c>
      <c r="J338" s="41">
        <f t="shared" si="20"/>
        <v>40181</v>
      </c>
      <c r="K338" s="41">
        <f t="shared" si="20"/>
        <v>0</v>
      </c>
      <c r="L338" s="41">
        <f t="shared" si="20"/>
        <v>1410470.54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853617.23</v>
      </c>
      <c r="G352" s="41">
        <f>G338</f>
        <v>334385.88</v>
      </c>
      <c r="H352" s="41">
        <f>H338</f>
        <v>160757.02000000002</v>
      </c>
      <c r="I352" s="41">
        <f>I338</f>
        <v>21529.41</v>
      </c>
      <c r="J352" s="41">
        <f>J338</f>
        <v>40181</v>
      </c>
      <c r="K352" s="47">
        <f>K338+K351</f>
        <v>0</v>
      </c>
      <c r="L352" s="41">
        <f>L338+L351</f>
        <v>1410470.54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80247.06</v>
      </c>
      <c r="G358" s="18">
        <v>33697.43</v>
      </c>
      <c r="H358" s="18">
        <v>2450.7199999999998</v>
      </c>
      <c r="I358" s="18">
        <v>105859.46</v>
      </c>
      <c r="J358" s="18">
        <v>11.31</v>
      </c>
      <c r="K358" s="18">
        <v>175.5</v>
      </c>
      <c r="L358" s="13">
        <f>SUM(F358:K358)</f>
        <v>222441.47999999998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70165.91</v>
      </c>
      <c r="G359" s="18">
        <v>20067.02</v>
      </c>
      <c r="H359" s="18">
        <v>1759.49</v>
      </c>
      <c r="I359" s="18">
        <v>65353.42</v>
      </c>
      <c r="J359" s="18">
        <v>8.1199999999999992</v>
      </c>
      <c r="K359" s="18">
        <v>126</v>
      </c>
      <c r="L359" s="19">
        <f>SUM(F359:K359)</f>
        <v>157479.96000000002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97487.8</v>
      </c>
      <c r="G360" s="18">
        <v>32672.3</v>
      </c>
      <c r="H360" s="18">
        <v>2073.69</v>
      </c>
      <c r="I360" s="18">
        <v>77023.67</v>
      </c>
      <c r="J360" s="18">
        <v>9.57</v>
      </c>
      <c r="K360" s="18">
        <v>148.5</v>
      </c>
      <c r="L360" s="19">
        <f>SUM(F360:K360)</f>
        <v>209415.53000000003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247900.77000000002</v>
      </c>
      <c r="G362" s="47">
        <f t="shared" si="22"/>
        <v>86436.75</v>
      </c>
      <c r="H362" s="47">
        <f t="shared" si="22"/>
        <v>6283.9</v>
      </c>
      <c r="I362" s="47">
        <f t="shared" si="22"/>
        <v>248236.55</v>
      </c>
      <c r="J362" s="47">
        <f t="shared" si="22"/>
        <v>29</v>
      </c>
      <c r="K362" s="47">
        <f t="shared" si="22"/>
        <v>450</v>
      </c>
      <c r="L362" s="47">
        <f t="shared" si="22"/>
        <v>589336.97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100724.77</v>
      </c>
      <c r="G367" s="18">
        <v>61666.98</v>
      </c>
      <c r="H367" s="18">
        <v>72678.94</v>
      </c>
      <c r="I367" s="56">
        <f>SUM(F367:H367)</f>
        <v>235070.69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5134.6899999999996</v>
      </c>
      <c r="G368" s="63">
        <v>3686.44</v>
      </c>
      <c r="H368" s="63">
        <v>4344.7299999999996</v>
      </c>
      <c r="I368" s="56">
        <f>SUM(F368:H368)</f>
        <v>13165.859999999999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105859.46</v>
      </c>
      <c r="G369" s="47">
        <f>SUM(G367:G368)</f>
        <v>65353.420000000006</v>
      </c>
      <c r="H369" s="47">
        <f>SUM(H367:H368)</f>
        <v>77023.67</v>
      </c>
      <c r="I369" s="47">
        <f>SUM(I367:I368)</f>
        <v>248236.55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/>
      <c r="G465" s="18"/>
      <c r="H465" s="18"/>
      <c r="I465" s="18"/>
      <c r="J465" s="18"/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13989854.18</v>
      </c>
      <c r="G468" s="18">
        <v>589336.97</v>
      </c>
      <c r="H468" s="18">
        <v>1410470.54</v>
      </c>
      <c r="I468" s="18"/>
      <c r="J468" s="18"/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 t="s">
        <v>913</v>
      </c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13989854.18</v>
      </c>
      <c r="G470" s="53">
        <f>SUM(G468:G469)</f>
        <v>589336.97</v>
      </c>
      <c r="H470" s="53">
        <f>SUM(H468:H469)</f>
        <v>1410470.54</v>
      </c>
      <c r="I470" s="53">
        <f>SUM(I468:I469)</f>
        <v>0</v>
      </c>
      <c r="J470" s="53">
        <f>SUM(J468:J469)</f>
        <v>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13660376.75</v>
      </c>
      <c r="G472" s="18">
        <v>589336.97</v>
      </c>
      <c r="H472" s="18">
        <v>1410470.54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13660376.75</v>
      </c>
      <c r="G474" s="53">
        <f>SUM(G472:G473)</f>
        <v>589336.97</v>
      </c>
      <c r="H474" s="53">
        <f>SUM(H472:H473)</f>
        <v>1410470.54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329477.4299999997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914</v>
      </c>
      <c r="G491" s="155" t="s">
        <v>916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915</v>
      </c>
      <c r="G492" s="155" t="s">
        <v>917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5010376</v>
      </c>
      <c r="G493" s="18">
        <v>2700000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5.2</v>
      </c>
      <c r="G494" s="18">
        <v>4.26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1000000</v>
      </c>
      <c r="G495" s="18">
        <v>1580867.71</v>
      </c>
      <c r="H495" s="18"/>
      <c r="I495" s="18"/>
      <c r="J495" s="18"/>
      <c r="K495" s="53">
        <f>SUM(F495:J495)</f>
        <v>2580867.71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250000</v>
      </c>
      <c r="G497" s="18">
        <v>142105.26</v>
      </c>
      <c r="H497" s="18"/>
      <c r="I497" s="18"/>
      <c r="J497" s="18"/>
      <c r="K497" s="53">
        <f t="shared" si="35"/>
        <v>392105.26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750000</v>
      </c>
      <c r="G498" s="204">
        <v>1438762.45</v>
      </c>
      <c r="H498" s="204"/>
      <c r="I498" s="204"/>
      <c r="J498" s="204"/>
      <c r="K498" s="205">
        <f t="shared" si="35"/>
        <v>2188762.4500000002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750000</v>
      </c>
      <c r="G500" s="42">
        <f>SUM(G498:G499)</f>
        <v>1438762.45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2188762.4500000002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250000</v>
      </c>
      <c r="G501" s="204">
        <v>142105.26</v>
      </c>
      <c r="H501" s="204"/>
      <c r="I501" s="204"/>
      <c r="J501" s="204"/>
      <c r="K501" s="205">
        <f t="shared" si="35"/>
        <v>392105.26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65000</v>
      </c>
      <c r="G502" s="18">
        <v>40377</v>
      </c>
      <c r="H502" s="18"/>
      <c r="I502" s="18"/>
      <c r="J502" s="18"/>
      <c r="K502" s="53">
        <f t="shared" si="35"/>
        <v>105377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315000</v>
      </c>
      <c r="G503" s="42">
        <f>SUM(G501:G502)</f>
        <v>182482.26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497482.26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377384.2</v>
      </c>
      <c r="G521" s="18">
        <v>161226.98000000001</v>
      </c>
      <c r="H521" s="18">
        <v>225800.19</v>
      </c>
      <c r="I521" s="18">
        <v>2733.42</v>
      </c>
      <c r="J521" s="18"/>
      <c r="K521" s="18"/>
      <c r="L521" s="88">
        <f>SUM(F521:K521)</f>
        <v>767144.79000000015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324136.32000000001</v>
      </c>
      <c r="G522" s="18">
        <v>139163.64000000001</v>
      </c>
      <c r="H522" s="18">
        <v>386150.46</v>
      </c>
      <c r="I522" s="18">
        <v>944.55</v>
      </c>
      <c r="J522" s="18"/>
      <c r="K522" s="18"/>
      <c r="L522" s="88">
        <f>SUM(F522:K522)</f>
        <v>850394.97000000009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374482.19</v>
      </c>
      <c r="G523" s="18">
        <v>168309.24</v>
      </c>
      <c r="H523" s="18">
        <v>375023.97</v>
      </c>
      <c r="I523" s="18">
        <v>1359.04</v>
      </c>
      <c r="J523" s="18"/>
      <c r="K523" s="18"/>
      <c r="L523" s="88">
        <f>SUM(F523:K523)</f>
        <v>919174.44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1076002.71</v>
      </c>
      <c r="G524" s="108">
        <f t="shared" ref="G524:L524" si="36">SUM(G521:G523)</f>
        <v>468699.86</v>
      </c>
      <c r="H524" s="108">
        <f t="shared" si="36"/>
        <v>986974.62</v>
      </c>
      <c r="I524" s="108">
        <f t="shared" si="36"/>
        <v>5037.01</v>
      </c>
      <c r="J524" s="108">
        <f t="shared" si="36"/>
        <v>0</v>
      </c>
      <c r="K524" s="108">
        <f t="shared" si="36"/>
        <v>0</v>
      </c>
      <c r="L524" s="89">
        <f t="shared" si="36"/>
        <v>2536714.2000000002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219337</v>
      </c>
      <c r="G526" s="18">
        <v>81629.81</v>
      </c>
      <c r="H526" s="18">
        <v>247109</v>
      </c>
      <c r="I526" s="18">
        <v>3881.27</v>
      </c>
      <c r="J526" s="18">
        <v>994</v>
      </c>
      <c r="K526" s="18">
        <v>150</v>
      </c>
      <c r="L526" s="88">
        <f>SUM(F526:K526)</f>
        <v>553101.08000000007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199223.57</v>
      </c>
      <c r="G527" s="18">
        <v>92186.16</v>
      </c>
      <c r="H527" s="18">
        <v>92937.85</v>
      </c>
      <c r="I527" s="18">
        <v>3514.72</v>
      </c>
      <c r="J527" s="18"/>
      <c r="K527" s="18">
        <v>378</v>
      </c>
      <c r="L527" s="88">
        <f>SUM(F527:K527)</f>
        <v>388240.29999999993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257798.39</v>
      </c>
      <c r="G528" s="18">
        <v>122078.95</v>
      </c>
      <c r="H528" s="18">
        <v>99159.95</v>
      </c>
      <c r="I528" s="18">
        <v>3237.29</v>
      </c>
      <c r="J528" s="18"/>
      <c r="K528" s="18"/>
      <c r="L528" s="88">
        <f>SUM(F528:K528)</f>
        <v>482274.58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676358.96</v>
      </c>
      <c r="G529" s="89">
        <f t="shared" ref="G529:L529" si="37">SUM(G526:G528)</f>
        <v>295894.92</v>
      </c>
      <c r="H529" s="89">
        <f t="shared" si="37"/>
        <v>439206.8</v>
      </c>
      <c r="I529" s="89">
        <f t="shared" si="37"/>
        <v>10633.279999999999</v>
      </c>
      <c r="J529" s="89">
        <f t="shared" si="37"/>
        <v>994</v>
      </c>
      <c r="K529" s="89">
        <f t="shared" si="37"/>
        <v>528</v>
      </c>
      <c r="L529" s="89">
        <f t="shared" si="37"/>
        <v>1423615.96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63517.29</v>
      </c>
      <c r="G531" s="18">
        <v>28914.41</v>
      </c>
      <c r="H531" s="18">
        <v>4937.67</v>
      </c>
      <c r="I531" s="18">
        <v>332.74</v>
      </c>
      <c r="J531" s="18">
        <v>9.75</v>
      </c>
      <c r="K531" s="18">
        <v>206.7</v>
      </c>
      <c r="L531" s="88">
        <f>SUM(F531:K531)</f>
        <v>97918.56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45602.16</v>
      </c>
      <c r="G532" s="18">
        <v>20759.060000000001</v>
      </c>
      <c r="H532" s="18">
        <v>3544.99</v>
      </c>
      <c r="I532" s="18">
        <v>238.89</v>
      </c>
      <c r="J532" s="18">
        <v>7</v>
      </c>
      <c r="K532" s="18">
        <v>148.4</v>
      </c>
      <c r="L532" s="88">
        <f>SUM(F532:K532)</f>
        <v>70300.5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53745.4</v>
      </c>
      <c r="G533" s="18">
        <v>24466.04</v>
      </c>
      <c r="H533" s="18">
        <v>4178.0200000000004</v>
      </c>
      <c r="I533" s="18">
        <v>281.55</v>
      </c>
      <c r="J533" s="18">
        <v>8.25</v>
      </c>
      <c r="K533" s="18">
        <v>174.9</v>
      </c>
      <c r="L533" s="88">
        <f>SUM(F533:K533)</f>
        <v>82854.16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162864.85</v>
      </c>
      <c r="G534" s="89">
        <f t="shared" ref="G534:L534" si="38">SUM(G531:G533)</f>
        <v>74139.510000000009</v>
      </c>
      <c r="H534" s="89">
        <f t="shared" si="38"/>
        <v>12660.68</v>
      </c>
      <c r="I534" s="89">
        <f t="shared" si="38"/>
        <v>853.18000000000006</v>
      </c>
      <c r="J534" s="89">
        <f t="shared" si="38"/>
        <v>25</v>
      </c>
      <c r="K534" s="89">
        <f t="shared" si="38"/>
        <v>530</v>
      </c>
      <c r="L534" s="89">
        <f t="shared" si="38"/>
        <v>251073.22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94724.06</v>
      </c>
      <c r="I541" s="18"/>
      <c r="J541" s="18"/>
      <c r="K541" s="18"/>
      <c r="L541" s="88">
        <f>SUM(F541:K541)</f>
        <v>94724.06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105180.97</v>
      </c>
      <c r="I542" s="18"/>
      <c r="J542" s="18"/>
      <c r="K542" s="18"/>
      <c r="L542" s="88">
        <f>SUM(F542:K542)</f>
        <v>105180.97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131262.82999999999</v>
      </c>
      <c r="I543" s="18"/>
      <c r="J543" s="18"/>
      <c r="K543" s="18"/>
      <c r="L543" s="88">
        <f>SUM(F543:K543)</f>
        <v>131262.82999999999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331167.86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331167.86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1915226.52</v>
      </c>
      <c r="G545" s="89">
        <f t="shared" ref="G545:L545" si="41">G524+G529+G534+G539+G544</f>
        <v>838734.29</v>
      </c>
      <c r="H545" s="89">
        <f t="shared" si="41"/>
        <v>1770009.96</v>
      </c>
      <c r="I545" s="89">
        <f t="shared" si="41"/>
        <v>16523.469999999998</v>
      </c>
      <c r="J545" s="89">
        <f t="shared" si="41"/>
        <v>1019</v>
      </c>
      <c r="K545" s="89">
        <f t="shared" si="41"/>
        <v>1058</v>
      </c>
      <c r="L545" s="89">
        <f t="shared" si="41"/>
        <v>4542571.24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767144.79000000015</v>
      </c>
      <c r="G549" s="87">
        <f>L526</f>
        <v>553101.08000000007</v>
      </c>
      <c r="H549" s="87">
        <f>L531</f>
        <v>97918.56</v>
      </c>
      <c r="I549" s="87">
        <f>L536</f>
        <v>0</v>
      </c>
      <c r="J549" s="87">
        <f>L541</f>
        <v>94724.06</v>
      </c>
      <c r="K549" s="87">
        <f>SUM(F549:J549)</f>
        <v>1512888.4900000002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850394.97000000009</v>
      </c>
      <c r="G550" s="87">
        <f>L527</f>
        <v>388240.29999999993</v>
      </c>
      <c r="H550" s="87">
        <f>L532</f>
        <v>70300.5</v>
      </c>
      <c r="I550" s="87">
        <f>L537</f>
        <v>0</v>
      </c>
      <c r="J550" s="87">
        <f>L542</f>
        <v>105180.97</v>
      </c>
      <c r="K550" s="87">
        <f>SUM(F550:J550)</f>
        <v>1414116.74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919174.44</v>
      </c>
      <c r="G551" s="87">
        <f>L528</f>
        <v>482274.58</v>
      </c>
      <c r="H551" s="87">
        <f>L533</f>
        <v>82854.16</v>
      </c>
      <c r="I551" s="87">
        <f>L538</f>
        <v>0</v>
      </c>
      <c r="J551" s="87">
        <f>L543</f>
        <v>131262.82999999999</v>
      </c>
      <c r="K551" s="87">
        <f>SUM(F551:J551)</f>
        <v>1615566.01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2536714.2000000002</v>
      </c>
      <c r="G552" s="89">
        <f t="shared" si="42"/>
        <v>1423615.96</v>
      </c>
      <c r="H552" s="89">
        <f t="shared" si="42"/>
        <v>251073.22</v>
      </c>
      <c r="I552" s="89">
        <f t="shared" si="42"/>
        <v>0</v>
      </c>
      <c r="J552" s="89">
        <f t="shared" si="42"/>
        <v>331167.86</v>
      </c>
      <c r="K552" s="89">
        <f t="shared" si="42"/>
        <v>4542571.24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7819.35</v>
      </c>
      <c r="G575" s="18"/>
      <c r="H575" s="18"/>
      <c r="I575" s="87">
        <f>SUM(F575:H575)</f>
        <v>7819.35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217980.84</v>
      </c>
      <c r="G578" s="18"/>
      <c r="H578" s="18"/>
      <c r="I578" s="87">
        <f t="shared" si="47"/>
        <v>217980.84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>
        <v>21107.51</v>
      </c>
      <c r="H579" s="18">
        <v>276905.69</v>
      </c>
      <c r="I579" s="87">
        <f t="shared" si="47"/>
        <v>298013.2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365042.95</v>
      </c>
      <c r="H582" s="18"/>
      <c r="I582" s="87">
        <f t="shared" si="47"/>
        <v>365042.95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60445.85</v>
      </c>
      <c r="I584" s="87">
        <f t="shared" si="47"/>
        <v>60445.85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49610.09</v>
      </c>
      <c r="I591" s="18">
        <v>35617.5</v>
      </c>
      <c r="J591" s="18">
        <v>41977.77</v>
      </c>
      <c r="K591" s="104">
        <f t="shared" ref="K591:K597" si="48">SUM(H591:J591)</f>
        <v>127205.35999999999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94724.06</v>
      </c>
      <c r="I592" s="18">
        <v>105180.97</v>
      </c>
      <c r="J592" s="18">
        <v>131262.82999999999</v>
      </c>
      <c r="K592" s="104">
        <f t="shared" si="48"/>
        <v>331167.86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36098.699999999997</v>
      </c>
      <c r="K593" s="104">
        <f t="shared" si="48"/>
        <v>36098.699999999997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6475.25</v>
      </c>
      <c r="J594" s="18">
        <v>29081.53</v>
      </c>
      <c r="K594" s="104">
        <f t="shared" si="48"/>
        <v>35556.78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2464.94</v>
      </c>
      <c r="I595" s="18">
        <v>1882.3</v>
      </c>
      <c r="J595" s="18">
        <v>3498.21</v>
      </c>
      <c r="K595" s="104">
        <f t="shared" si="48"/>
        <v>7845.45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146799.09</v>
      </c>
      <c r="I598" s="108">
        <f>SUM(I591:I597)</f>
        <v>149156.01999999999</v>
      </c>
      <c r="J598" s="108">
        <f>SUM(J591:J597)</f>
        <v>241919.03999999998</v>
      </c>
      <c r="K598" s="108">
        <f>SUM(K591:K597)</f>
        <v>537874.14999999991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21285.48</v>
      </c>
      <c r="I604" s="18">
        <v>59565.87</v>
      </c>
      <c r="J604" s="18">
        <v>26558.26</v>
      </c>
      <c r="K604" s="104">
        <f>SUM(H604:J604)</f>
        <v>107409.61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21285.48</v>
      </c>
      <c r="I605" s="108">
        <f>SUM(I602:I604)</f>
        <v>59565.87</v>
      </c>
      <c r="J605" s="108">
        <f>SUM(J602:J604)</f>
        <v>26558.26</v>
      </c>
      <c r="K605" s="108">
        <f>SUM(K602:K604)</f>
        <v>107409.61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440184.05</v>
      </c>
      <c r="H617" s="109">
        <f>SUM(F52)</f>
        <v>440184.05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144522.57</v>
      </c>
      <c r="H618" s="109">
        <f>SUM(G52)</f>
        <v>144522.57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0</v>
      </c>
      <c r="H621" s="109">
        <f>SUM(J52)</f>
        <v>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329477.43</v>
      </c>
      <c r="H622" s="109">
        <f>F476</f>
        <v>329477.4299999997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13989854.18</v>
      </c>
      <c r="H627" s="104">
        <f>SUM(F468)</f>
        <v>13989854.18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589336.97</v>
      </c>
      <c r="H628" s="104">
        <f>SUM(G468)</f>
        <v>589336.97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1410470.54</v>
      </c>
      <c r="H629" s="104">
        <f>SUM(H468)</f>
        <v>1410470.54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13660376.750000002</v>
      </c>
      <c r="H632" s="104">
        <f>SUM(F472)</f>
        <v>13660376.75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1410470.54</v>
      </c>
      <c r="H633" s="104">
        <f>SUM(H472)</f>
        <v>1410470.54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248236.55</v>
      </c>
      <c r="H634" s="104">
        <f>I369</f>
        <v>248236.55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589336.97</v>
      </c>
      <c r="H635" s="104">
        <f>SUM(G472)</f>
        <v>589336.97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537874.14999999991</v>
      </c>
      <c r="H647" s="104">
        <f>L208+L226+L244</f>
        <v>537874.15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107409.61</v>
      </c>
      <c r="H648" s="104">
        <f>(J257+J338)-(J255+J336)</f>
        <v>107409.61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146799.09</v>
      </c>
      <c r="H649" s="104">
        <f>H598</f>
        <v>146799.09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149156.01999999999</v>
      </c>
      <c r="H650" s="104">
        <f>I598</f>
        <v>149156.01999999999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241919.04</v>
      </c>
      <c r="H651" s="104">
        <f>J598</f>
        <v>241919.03999999998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44522.57</v>
      </c>
      <c r="H652" s="104">
        <f>K263+K345</f>
        <v>44522.57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5197692.4000000004</v>
      </c>
      <c r="G660" s="19">
        <f>(L229+L309+L359)</f>
        <v>4855080.16</v>
      </c>
      <c r="H660" s="19">
        <f>(L247+L328+L360)</f>
        <v>5298297.74</v>
      </c>
      <c r="I660" s="19">
        <f>SUM(F660:H660)</f>
        <v>15351070.300000001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28919.167857049251</v>
      </c>
      <c r="G661" s="19">
        <f>(L359/IF(SUM(L358:L360)=0,1,SUM(L358:L360))*(SUM(G97:G110)))</f>
        <v>20473.651754885836</v>
      </c>
      <c r="H661" s="19">
        <f>(L360/IF(SUM(L358:L360)=0,1,SUM(L358:L360))*(SUM(G97:G110)))</f>
        <v>27225.690388064915</v>
      </c>
      <c r="I661" s="19">
        <f>SUM(F661:H661)</f>
        <v>76618.510000000009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150330.79</v>
      </c>
      <c r="G662" s="19">
        <f>(L226+L306)-(J226+J306)</f>
        <v>149156.01999999999</v>
      </c>
      <c r="H662" s="19">
        <f>(L244+L325)-(J244+J325)</f>
        <v>241919.04</v>
      </c>
      <c r="I662" s="19">
        <f>SUM(F662:H662)</f>
        <v>541405.85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247085.67</v>
      </c>
      <c r="G663" s="199">
        <f>SUM(G575:G587)+SUM(I602:I604)+L612</f>
        <v>445716.33</v>
      </c>
      <c r="H663" s="199">
        <f>SUM(H575:H587)+SUM(J602:J604)+L613</f>
        <v>363909.8</v>
      </c>
      <c r="I663" s="19">
        <f>SUM(F663:H663)</f>
        <v>1056711.8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4771356.7721429514</v>
      </c>
      <c r="G664" s="19">
        <f>G660-SUM(G661:G663)</f>
        <v>4239734.1582451146</v>
      </c>
      <c r="H664" s="19">
        <f>H660-SUM(H661:H663)</f>
        <v>4665243.2096119355</v>
      </c>
      <c r="I664" s="19">
        <f>I660-SUM(I661:I663)</f>
        <v>13676334.140000001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9.42+64.73+259.46</f>
        <v>333.61</v>
      </c>
      <c r="G665" s="248">
        <v>397.79</v>
      </c>
      <c r="H665" s="248">
        <v>327.33999999999997</v>
      </c>
      <c r="I665" s="19">
        <f>SUM(F665:H665)</f>
        <v>1058.74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14302.2</v>
      </c>
      <c r="G667" s="19">
        <f>ROUND(G664/G665,2)</f>
        <v>10658.22</v>
      </c>
      <c r="H667" s="19">
        <f>ROUND(H664/H665,2)</f>
        <v>14251.98</v>
      </c>
      <c r="I667" s="19">
        <f>ROUND(I664/I665,2)</f>
        <v>12917.56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-7</v>
      </c>
      <c r="I670" s="19">
        <f>SUM(F670:H670)</f>
        <v>-7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14302.2</v>
      </c>
      <c r="G672" s="19">
        <f>ROUND((G664+G669)/(G665+G670),2)</f>
        <v>10658.22</v>
      </c>
      <c r="H672" s="19">
        <f>ROUND((H664+H669)/(H665+H670),2)</f>
        <v>14563.41</v>
      </c>
      <c r="I672" s="19">
        <f>ROUND((I664+I669)/(I665+I670),2)</f>
        <v>13003.53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FRANKLIN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3922114.61</v>
      </c>
      <c r="C9" s="229">
        <f>'DOE25'!G197+'DOE25'!G215+'DOE25'!G233+'DOE25'!G276+'DOE25'!G295+'DOE25'!G314</f>
        <v>1633729.31</v>
      </c>
    </row>
    <row r="10" spans="1:3" x14ac:dyDescent="0.2">
      <c r="A10" t="s">
        <v>778</v>
      </c>
      <c r="B10" s="240">
        <v>3409652.95</v>
      </c>
      <c r="C10" s="240">
        <v>1471171.62</v>
      </c>
    </row>
    <row r="11" spans="1:3" x14ac:dyDescent="0.2">
      <c r="A11" t="s">
        <v>779</v>
      </c>
      <c r="B11" s="240">
        <v>512461.66</v>
      </c>
      <c r="C11" s="240">
        <v>162557.69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3922114.6100000003</v>
      </c>
      <c r="C13" s="231">
        <f>SUM(C10:C12)</f>
        <v>1633729.31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1369877.56</v>
      </c>
      <c r="C18" s="229">
        <f>'DOE25'!G198+'DOE25'!G216+'DOE25'!G234+'DOE25'!G277+'DOE25'!G296+'DOE25'!G315</f>
        <v>615264.74</v>
      </c>
    </row>
    <row r="19" spans="1:3" x14ac:dyDescent="0.2">
      <c r="A19" t="s">
        <v>778</v>
      </c>
      <c r="B19" s="240">
        <v>707093</v>
      </c>
      <c r="C19" s="240">
        <v>334879.39</v>
      </c>
    </row>
    <row r="20" spans="1:3" x14ac:dyDescent="0.2">
      <c r="A20" t="s">
        <v>779</v>
      </c>
      <c r="B20" s="240">
        <v>662784.56000000006</v>
      </c>
      <c r="C20" s="240">
        <v>280385.34999999998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1369877.56</v>
      </c>
      <c r="C22" s="231">
        <f>SUM(C19:C21)</f>
        <v>615264.74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128306.88</v>
      </c>
      <c r="C36" s="235">
        <f>'DOE25'!G200+'DOE25'!G218+'DOE25'!G236+'DOE25'!G279+'DOE25'!G298+'DOE25'!G317</f>
        <v>42294.92</v>
      </c>
    </row>
    <row r="37" spans="1:3" x14ac:dyDescent="0.2">
      <c r="A37" t="s">
        <v>778</v>
      </c>
      <c r="B37" s="240">
        <v>60851.360000000001</v>
      </c>
      <c r="C37" s="240">
        <v>39429.57</v>
      </c>
    </row>
    <row r="38" spans="1:3" x14ac:dyDescent="0.2">
      <c r="A38" t="s">
        <v>779</v>
      </c>
      <c r="B38" s="240">
        <v>67455.520000000004</v>
      </c>
      <c r="C38" s="240">
        <v>2865.35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128306.88</v>
      </c>
      <c r="C40" s="231">
        <f>SUM(C37:C39)</f>
        <v>42294.92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35" sqref="E3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FRANKLIN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8377623.6200000001</v>
      </c>
      <c r="D5" s="20">
        <f>SUM('DOE25'!L197:L200)+SUM('DOE25'!L215:L218)+SUM('DOE25'!L233:L236)-F5-G5</f>
        <v>8346019.9700000007</v>
      </c>
      <c r="E5" s="243"/>
      <c r="F5" s="255">
        <f>SUM('DOE25'!J197:J200)+SUM('DOE25'!J215:J218)+SUM('DOE25'!J233:J236)</f>
        <v>13116.85</v>
      </c>
      <c r="G5" s="53">
        <f>SUM('DOE25'!K197:K200)+SUM('DOE25'!K215:K218)+SUM('DOE25'!K233:K236)</f>
        <v>18486.8</v>
      </c>
      <c r="H5" s="259"/>
    </row>
    <row r="6" spans="1:9" x14ac:dyDescent="0.2">
      <c r="A6" s="32">
        <v>2100</v>
      </c>
      <c r="B6" t="s">
        <v>800</v>
      </c>
      <c r="C6" s="245">
        <f t="shared" si="0"/>
        <v>1423615.95</v>
      </c>
      <c r="D6" s="20">
        <f>'DOE25'!L202+'DOE25'!L220+'DOE25'!L238-F6-G6</f>
        <v>1422093.95</v>
      </c>
      <c r="E6" s="243"/>
      <c r="F6" s="255">
        <f>'DOE25'!J202+'DOE25'!J220+'DOE25'!J238</f>
        <v>994</v>
      </c>
      <c r="G6" s="53">
        <f>'DOE25'!K202+'DOE25'!K220+'DOE25'!K238</f>
        <v>528</v>
      </c>
      <c r="H6" s="259"/>
    </row>
    <row r="7" spans="1:9" x14ac:dyDescent="0.2">
      <c r="A7" s="32">
        <v>2200</v>
      </c>
      <c r="B7" t="s">
        <v>833</v>
      </c>
      <c r="C7" s="245">
        <f t="shared" si="0"/>
        <v>226833.28999999998</v>
      </c>
      <c r="D7" s="20">
        <f>'DOE25'!L203+'DOE25'!L221+'DOE25'!L239-F7-G7</f>
        <v>203279.00999999998</v>
      </c>
      <c r="E7" s="243"/>
      <c r="F7" s="255">
        <f>'DOE25'!J203+'DOE25'!J221+'DOE25'!J239</f>
        <v>23554.28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503510.52</v>
      </c>
      <c r="D8" s="243"/>
      <c r="E8" s="20">
        <f>'DOE25'!L204+'DOE25'!L222+'DOE25'!L240-F8-G8-D9-D11</f>
        <v>498583.16000000003</v>
      </c>
      <c r="F8" s="255">
        <f>'DOE25'!J204+'DOE25'!J222+'DOE25'!J240</f>
        <v>0</v>
      </c>
      <c r="G8" s="53">
        <f>'DOE25'!K204+'DOE25'!K222+'DOE25'!K240</f>
        <v>4927.3599999999997</v>
      </c>
      <c r="H8" s="259"/>
    </row>
    <row r="9" spans="1:9" x14ac:dyDescent="0.2">
      <c r="A9" s="32">
        <v>2310</v>
      </c>
      <c r="B9" t="s">
        <v>817</v>
      </c>
      <c r="C9" s="245">
        <f t="shared" si="0"/>
        <v>8646</v>
      </c>
      <c r="D9" s="244">
        <v>8646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21375</v>
      </c>
      <c r="D10" s="243"/>
      <c r="E10" s="244">
        <v>21375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243743</v>
      </c>
      <c r="D11" s="244">
        <v>243743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818862.98</v>
      </c>
      <c r="D12" s="20">
        <f>'DOE25'!L205+'DOE25'!L223+'DOE25'!L241-F12-G12</f>
        <v>808378.85</v>
      </c>
      <c r="E12" s="243"/>
      <c r="F12" s="255">
        <f>'DOE25'!J205+'DOE25'!J223+'DOE25'!J241</f>
        <v>0</v>
      </c>
      <c r="G12" s="53">
        <f>'DOE25'!K205+'DOE25'!K223+'DOE25'!K241</f>
        <v>10484.130000000001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1181303.31</v>
      </c>
      <c r="D14" s="20">
        <f>'DOE25'!L207+'DOE25'!L225+'DOE25'!L243-F14-G14</f>
        <v>1152736.77</v>
      </c>
      <c r="E14" s="243"/>
      <c r="F14" s="255">
        <f>'DOE25'!J207+'DOE25'!J225+'DOE25'!J243</f>
        <v>28566.54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537874.15</v>
      </c>
      <c r="D15" s="20">
        <f>'DOE25'!L208+'DOE25'!L226+'DOE25'!L244-F15-G15</f>
        <v>537874.15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52220.05</v>
      </c>
      <c r="D16" s="243"/>
      <c r="E16" s="20">
        <f>'DOE25'!L209+'DOE25'!L227+'DOE25'!L245-F16-G16</f>
        <v>52220.05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20768.07</v>
      </c>
      <c r="D17" s="20">
        <f>'DOE25'!L251-F17-G17</f>
        <v>19771.13</v>
      </c>
      <c r="E17" s="243"/>
      <c r="F17" s="255">
        <f>'DOE25'!J251</f>
        <v>996.94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220853.24</v>
      </c>
      <c r="D25" s="243"/>
      <c r="E25" s="243"/>
      <c r="F25" s="258"/>
      <c r="G25" s="256"/>
      <c r="H25" s="257">
        <f>'DOE25'!L260+'DOE25'!L261+'DOE25'!L341+'DOE25'!L342</f>
        <v>220853.24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354266.27999999997</v>
      </c>
      <c r="D29" s="20">
        <f>'DOE25'!L358+'DOE25'!L359+'DOE25'!L360-'DOE25'!I367-F29-G29</f>
        <v>353787.27999999997</v>
      </c>
      <c r="E29" s="243"/>
      <c r="F29" s="255">
        <f>'DOE25'!J358+'DOE25'!J359+'DOE25'!J360</f>
        <v>29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1410470.54</v>
      </c>
      <c r="D31" s="20">
        <f>'DOE25'!L290+'DOE25'!L309+'DOE25'!L328+'DOE25'!L333+'DOE25'!L334+'DOE25'!L335-F31-G31</f>
        <v>1370289.54</v>
      </c>
      <c r="E31" s="243"/>
      <c r="F31" s="255">
        <f>'DOE25'!J290+'DOE25'!J309+'DOE25'!J328+'DOE25'!J333+'DOE25'!J334+'DOE25'!J335</f>
        <v>40181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14466619.649999999</v>
      </c>
      <c r="E33" s="246">
        <f>SUM(E5:E31)</f>
        <v>572178.21000000008</v>
      </c>
      <c r="F33" s="246">
        <f>SUM(F5:F31)</f>
        <v>107438.61</v>
      </c>
      <c r="G33" s="246">
        <f>SUM(G5:G31)</f>
        <v>34876.29</v>
      </c>
      <c r="H33" s="246">
        <f>SUM(H5:H31)</f>
        <v>220853.24</v>
      </c>
    </row>
    <row r="35" spans="2:8" ht="12" thickBot="1" x14ac:dyDescent="0.25">
      <c r="B35" s="253" t="s">
        <v>846</v>
      </c>
      <c r="D35" s="254">
        <f>E33</f>
        <v>572178.21000000008</v>
      </c>
      <c r="E35" s="249"/>
    </row>
    <row r="36" spans="2:8" ht="12" thickTop="1" x14ac:dyDescent="0.2">
      <c r="B36" t="s">
        <v>814</v>
      </c>
      <c r="D36" s="20">
        <f>D33</f>
        <v>14466619.649999999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7" sqref="C4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FRANKLIN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-9293.3799999999992</v>
      </c>
      <c r="D8" s="95">
        <f>'DOE25'!G9</f>
        <v>68953.7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150477.43</v>
      </c>
      <c r="D12" s="95">
        <f>'DOE25'!G13</f>
        <v>64826.46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99000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10742.41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200000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440184.05</v>
      </c>
      <c r="D18" s="41">
        <f>SUM(D8:D17)</f>
        <v>144522.57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90706.62</v>
      </c>
      <c r="D23" s="95">
        <f>'DOE25'!G24</f>
        <v>144522.57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20000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110706.62</v>
      </c>
      <c r="D31" s="41">
        <f>SUM(D21:D30)</f>
        <v>144522.57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200000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129477.43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329477.43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440184.05</v>
      </c>
      <c r="D51" s="41">
        <f>D50+D31</f>
        <v>144522.57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3571663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199234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2634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144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76618.509999999995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157225.91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359093.91000000003</v>
      </c>
      <c r="D62" s="130">
        <f>SUM(D57:D61)</f>
        <v>76762.509999999995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3930756.91</v>
      </c>
      <c r="D63" s="22">
        <f>D56+D62</f>
        <v>76762.509999999995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7929036.2599999998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1177459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8333.99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9114829.25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181944.16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83965.06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8887.6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1236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274796.81999999995</v>
      </c>
      <c r="D78" s="130">
        <f>SUM(D72:D77)</f>
        <v>1236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9389626.0700000003</v>
      </c>
      <c r="D81" s="130">
        <f>SUM(D79:D80)+D78+D70</f>
        <v>1236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230092.73</v>
      </c>
      <c r="D85" s="95">
        <f>'DOE25'!G147</f>
        <v>0</v>
      </c>
      <c r="E85" s="95">
        <f>'DOE25'!H147</f>
        <v>227260.79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218006.73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179378.47</v>
      </c>
      <c r="D88" s="95">
        <f>SUM('DOE25'!G153:G161)</f>
        <v>466815.89</v>
      </c>
      <c r="E88" s="95">
        <f>SUM('DOE25'!H153:H161)</f>
        <v>965203.0199999999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409471.2</v>
      </c>
      <c r="D91" s="131">
        <f>SUM(D85:D90)</f>
        <v>466815.89</v>
      </c>
      <c r="E91" s="131">
        <f>SUM(E85:E90)</f>
        <v>1410470.54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44522.57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260000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260000</v>
      </c>
      <c r="D103" s="86">
        <f>SUM(D93:D102)</f>
        <v>44522.57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13989854.18</v>
      </c>
      <c r="D104" s="86">
        <f>D63+D81+D91+D103</f>
        <v>589336.97</v>
      </c>
      <c r="E104" s="86">
        <f>E63+E81+E91+E103</f>
        <v>1410470.54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5287840.66</v>
      </c>
      <c r="D109" s="24" t="s">
        <v>288</v>
      </c>
      <c r="E109" s="95">
        <f>('DOE25'!L276)+('DOE25'!L295)+('DOE25'!L314)</f>
        <v>650618.06000000006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2787788.02</v>
      </c>
      <c r="D110" s="24" t="s">
        <v>288</v>
      </c>
      <c r="E110" s="95">
        <f>('DOE25'!L277)+('DOE25'!L296)+('DOE25'!L315)</f>
        <v>218006.75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60445.85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241549.08999999997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20768.07</v>
      </c>
      <c r="D114" s="24" t="s">
        <v>288</v>
      </c>
      <c r="E114" s="95">
        <f>+ SUM('DOE25'!L333:L335)</f>
        <v>22970.080000000002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8398391.6899999995</v>
      </c>
      <c r="D115" s="86">
        <f>SUM(D109:D114)</f>
        <v>0</v>
      </c>
      <c r="E115" s="86">
        <f>SUM(E109:E114)</f>
        <v>891594.89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1423615.95</v>
      </c>
      <c r="D118" s="24" t="s">
        <v>288</v>
      </c>
      <c r="E118" s="95">
        <f>+('DOE25'!L281)+('DOE25'!L300)+('DOE25'!L319)</f>
        <v>52743.44000000001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226833.28999999998</v>
      </c>
      <c r="D119" s="24" t="s">
        <v>288</v>
      </c>
      <c r="E119" s="95">
        <f>+('DOE25'!L282)+('DOE25'!L301)+('DOE25'!L320)</f>
        <v>173779.8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755899.52</v>
      </c>
      <c r="D120" s="24" t="s">
        <v>288</v>
      </c>
      <c r="E120" s="95">
        <f>+('DOE25'!L283)+('DOE25'!L302)+('DOE25'!L321)</f>
        <v>288820.71000000002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818862.98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1181303.31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537874.15</v>
      </c>
      <c r="D124" s="24" t="s">
        <v>288</v>
      </c>
      <c r="E124" s="95">
        <f>+('DOE25'!L287)+('DOE25'!L306)+('DOE25'!L325)</f>
        <v>3531.7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52220.05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589336.97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4996609.25</v>
      </c>
      <c r="D128" s="86">
        <f>SUM(D118:D127)</f>
        <v>589336.97</v>
      </c>
      <c r="E128" s="86">
        <f>SUM(E118:E127)</f>
        <v>518875.65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99808.13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121045.11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44522.57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265375.81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13660376.75</v>
      </c>
      <c r="D145" s="86">
        <f>(D115+D128+D144)</f>
        <v>589336.97</v>
      </c>
      <c r="E145" s="86">
        <f>(E115+E128+E144)</f>
        <v>1410470.54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8/99</v>
      </c>
      <c r="C152" s="152" t="str">
        <f>'DOE25'!G491</f>
        <v>05/06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8/19</v>
      </c>
      <c r="C153" s="152" t="str">
        <f>'DOE25'!G492</f>
        <v>05/26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5010376</v>
      </c>
      <c r="C154" s="137">
        <f>'DOE25'!G493</f>
        <v>2700000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4.26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1000000</v>
      </c>
      <c r="C156" s="137">
        <f>'DOE25'!G495</f>
        <v>1580867.71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2580867.71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250000</v>
      </c>
      <c r="C158" s="137">
        <f>'DOE25'!G497</f>
        <v>142105.26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392105.26</v>
      </c>
    </row>
    <row r="159" spans="1:9" x14ac:dyDescent="0.2">
      <c r="A159" s="22" t="s">
        <v>35</v>
      </c>
      <c r="B159" s="137">
        <f>'DOE25'!F498</f>
        <v>750000</v>
      </c>
      <c r="C159" s="137">
        <f>'DOE25'!G498</f>
        <v>1438762.45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2188762.4500000002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750000</v>
      </c>
      <c r="C161" s="137">
        <f>'DOE25'!G500</f>
        <v>1438762.45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2188762.4500000002</v>
      </c>
    </row>
    <row r="162" spans="1:7" x14ac:dyDescent="0.2">
      <c r="A162" s="22" t="s">
        <v>38</v>
      </c>
      <c r="B162" s="137">
        <f>'DOE25'!F501</f>
        <v>250000</v>
      </c>
      <c r="C162" s="137">
        <f>'DOE25'!G501</f>
        <v>142105.26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392105.26</v>
      </c>
    </row>
    <row r="163" spans="1:7" x14ac:dyDescent="0.2">
      <c r="A163" s="22" t="s">
        <v>39</v>
      </c>
      <c r="B163" s="137">
        <f>'DOE25'!F502</f>
        <v>65000</v>
      </c>
      <c r="C163" s="137">
        <f>'DOE25'!G502</f>
        <v>40377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105377</v>
      </c>
    </row>
    <row r="164" spans="1:7" x14ac:dyDescent="0.2">
      <c r="A164" s="22" t="s">
        <v>246</v>
      </c>
      <c r="B164" s="137">
        <f>'DOE25'!F503</f>
        <v>315000</v>
      </c>
      <c r="C164" s="137">
        <f>'DOE25'!G503</f>
        <v>182482.26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497482.26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FRANKLIN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14302</v>
      </c>
    </row>
    <row r="5" spans="1:4" x14ac:dyDescent="0.2">
      <c r="B5" t="s">
        <v>703</v>
      </c>
      <c r="C5" s="179">
        <f>IF('DOE25'!G665+'DOE25'!G670=0,0,ROUND('DOE25'!G672,0))</f>
        <v>10658</v>
      </c>
    </row>
    <row r="6" spans="1:4" x14ac:dyDescent="0.2">
      <c r="B6" t="s">
        <v>62</v>
      </c>
      <c r="C6" s="179">
        <f>IF('DOE25'!H665+'DOE25'!H670=0,0,ROUND('DOE25'!H672,0))</f>
        <v>14563</v>
      </c>
    </row>
    <row r="7" spans="1:4" x14ac:dyDescent="0.2">
      <c r="B7" t="s">
        <v>704</v>
      </c>
      <c r="C7" s="179">
        <f>IF('DOE25'!I665+'DOE25'!I670=0,0,ROUND('DOE25'!I672,0))</f>
        <v>13004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5938459</v>
      </c>
      <c r="D10" s="182">
        <f>ROUND((C10/$C$28)*100,1)</f>
        <v>38.5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3005795</v>
      </c>
      <c r="D11" s="182">
        <f>ROUND((C11/$C$28)*100,1)</f>
        <v>19.5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60446</v>
      </c>
      <c r="D12" s="182">
        <f>ROUND((C12/$C$28)*100,1)</f>
        <v>0.4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241549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1476359</v>
      </c>
      <c r="D15" s="182">
        <f t="shared" ref="D15:D27" si="0">ROUND((C15/$C$28)*100,1)</f>
        <v>9.6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400613</v>
      </c>
      <c r="D16" s="182">
        <f t="shared" si="0"/>
        <v>2.6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1096940</v>
      </c>
      <c r="D17" s="182">
        <f t="shared" si="0"/>
        <v>7.1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818863</v>
      </c>
      <c r="D18" s="182">
        <f t="shared" si="0"/>
        <v>5.3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1181303</v>
      </c>
      <c r="D20" s="182">
        <f t="shared" si="0"/>
        <v>7.7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541406</v>
      </c>
      <c r="D21" s="182">
        <f t="shared" si="0"/>
        <v>3.5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43738</v>
      </c>
      <c r="D24" s="182">
        <f t="shared" si="0"/>
        <v>0.3</v>
      </c>
    </row>
    <row r="25" spans="1:4" x14ac:dyDescent="0.2">
      <c r="A25">
        <v>5120</v>
      </c>
      <c r="B25" t="s">
        <v>719</v>
      </c>
      <c r="C25" s="179">
        <f>ROUND('DOE25'!L261+'DOE25'!L342,0)</f>
        <v>121045</v>
      </c>
      <c r="D25" s="182">
        <f t="shared" si="0"/>
        <v>0.8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512718.49</v>
      </c>
      <c r="D27" s="182">
        <f t="shared" si="0"/>
        <v>3.3</v>
      </c>
    </row>
    <row r="28" spans="1:4" x14ac:dyDescent="0.2">
      <c r="B28" s="187" t="s">
        <v>722</v>
      </c>
      <c r="C28" s="180">
        <f>SUM(C10:C27)</f>
        <v>15439234.49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15439234.49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99808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3571663</v>
      </c>
      <c r="D35" s="182">
        <f t="shared" ref="D35:D40" si="1">ROUND((C35/$C$41)*100,1)</f>
        <v>22.9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359237.91000000015</v>
      </c>
      <c r="D36" s="182">
        <f t="shared" si="1"/>
        <v>2.2999999999999998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9106495</v>
      </c>
      <c r="D37" s="182">
        <f t="shared" si="1"/>
        <v>58.3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284367</v>
      </c>
      <c r="D38" s="182">
        <f t="shared" si="1"/>
        <v>1.8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2286758</v>
      </c>
      <c r="D39" s="182">
        <f t="shared" si="1"/>
        <v>14.7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15608520.91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FRANKLIN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17:I17"/>
  <sheetViews>
    <sheetView workbookViewId="0">
      <selection activeCell="I18" sqref="I18"/>
    </sheetView>
  </sheetViews>
  <sheetFormatPr defaultRowHeight="11.25" x14ac:dyDescent="0.2"/>
  <sheetData>
    <row r="17" spans="6:9" x14ac:dyDescent="0.2">
      <c r="F17">
        <v>1100</v>
      </c>
      <c r="G17">
        <v>610</v>
      </c>
      <c r="I17">
        <v>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2017-11-28T14:27:28Z</cp:lastPrinted>
  <dcterms:created xsi:type="dcterms:W3CDTF">1997-12-04T19:04:30Z</dcterms:created>
  <dcterms:modified xsi:type="dcterms:W3CDTF">2017-11-29T17:22:03Z</dcterms:modified>
</cp:coreProperties>
</file>