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7" i="1" l="1"/>
  <c r="F120" i="1"/>
  <c r="C19" i="12" l="1"/>
  <c r="B20" i="12"/>
  <c r="B11" i="12"/>
  <c r="B10" i="12"/>
  <c r="B12" i="12"/>
  <c r="J472" i="1" l="1"/>
  <c r="J468" i="1"/>
  <c r="I358" i="1"/>
  <c r="G283" i="1"/>
  <c r="H282" i="1"/>
  <c r="G281" i="1"/>
  <c r="H277" i="1"/>
  <c r="G277" i="1"/>
  <c r="F277" i="1"/>
  <c r="I276" i="1"/>
  <c r="F276" i="1"/>
  <c r="F358" i="1"/>
  <c r="G197" i="1"/>
  <c r="G203" i="1"/>
  <c r="I207" i="1" l="1"/>
  <c r="H207" i="1"/>
  <c r="F207" i="1"/>
  <c r="K204" i="1"/>
  <c r="I204" i="1"/>
  <c r="H204" i="1"/>
  <c r="H205" i="1"/>
  <c r="F204" i="1"/>
  <c r="I205" i="1"/>
  <c r="H206" i="1"/>
  <c r="F206" i="1"/>
  <c r="F205" i="1"/>
  <c r="I203" i="1" l="1"/>
  <c r="H203" i="1"/>
  <c r="F203" i="1"/>
  <c r="H202" i="1"/>
  <c r="I202" i="1"/>
  <c r="F202" i="1"/>
  <c r="H234" i="1"/>
  <c r="H198" i="1"/>
  <c r="F198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E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47" i="1" s="1"/>
  <c r="L235" i="1"/>
  <c r="C111" i="2" s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29" i="1" s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E112" i="2" s="1"/>
  <c r="L300" i="1"/>
  <c r="E118" i="2" s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C17" i="10" s="1"/>
  <c r="L322" i="1"/>
  <c r="E121" i="2" s="1"/>
  <c r="L323" i="1"/>
  <c r="C19" i="10" s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L362" i="1" s="1"/>
  <c r="G472" i="1" s="1"/>
  <c r="H635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F112" i="1" s="1"/>
  <c r="F94" i="1"/>
  <c r="F111" i="1"/>
  <c r="G111" i="1"/>
  <c r="H79" i="1"/>
  <c r="H94" i="1"/>
  <c r="H111" i="1"/>
  <c r="I111" i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20" i="10"/>
  <c r="C21" i="10"/>
  <c r="L250" i="1"/>
  <c r="L332" i="1"/>
  <c r="L254" i="1"/>
  <c r="C25" i="10"/>
  <c r="L268" i="1"/>
  <c r="L269" i="1"/>
  <c r="L349" i="1"/>
  <c r="L350" i="1"/>
  <c r="I665" i="1"/>
  <c r="I670" i="1"/>
  <c r="G661" i="1"/>
  <c r="H661" i="1"/>
  <c r="G662" i="1"/>
  <c r="H662" i="1"/>
  <c r="I669" i="1"/>
  <c r="C42" i="10"/>
  <c r="C3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 s="1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E62" i="2" s="1"/>
  <c r="E63" i="2" s="1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E114" i="2"/>
  <c r="D115" i="2"/>
  <c r="F115" i="2"/>
  <c r="G115" i="2"/>
  <c r="C118" i="2"/>
  <c r="E119" i="2"/>
  <c r="C120" i="2"/>
  <c r="E120" i="2"/>
  <c r="C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J640" i="1" s="1"/>
  <c r="H460" i="1"/>
  <c r="F461" i="1"/>
  <c r="H639" i="1" s="1"/>
  <c r="I470" i="1"/>
  <c r="I476" i="1" s="1"/>
  <c r="H625" i="1" s="1"/>
  <c r="J625" i="1" s="1"/>
  <c r="J470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J545" i="1" s="1"/>
  <c r="K529" i="1"/>
  <c r="K545" i="1" s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I545" i="1" s="1"/>
  <c r="J544" i="1"/>
  <c r="K544" i="1"/>
  <c r="L544" i="1"/>
  <c r="L557" i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5" i="1"/>
  <c r="H630" i="1"/>
  <c r="H631" i="1"/>
  <c r="H636" i="1"/>
  <c r="H637" i="1"/>
  <c r="H638" i="1"/>
  <c r="G639" i="1"/>
  <c r="G640" i="1"/>
  <c r="G641" i="1"/>
  <c r="G643" i="1"/>
  <c r="J643" i="1" s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C26" i="10"/>
  <c r="L351" i="1"/>
  <c r="A31" i="12"/>
  <c r="A40" i="12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C78" i="2"/>
  <c r="D50" i="2"/>
  <c r="G157" i="2"/>
  <c r="F18" i="2"/>
  <c r="G161" i="2"/>
  <c r="D9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K605" i="1"/>
  <c r="G648" i="1" s="1"/>
  <c r="L433" i="1"/>
  <c r="D81" i="2"/>
  <c r="I169" i="1"/>
  <c r="H169" i="1"/>
  <c r="F169" i="1"/>
  <c r="J140" i="1"/>
  <c r="F571" i="1"/>
  <c r="I552" i="1"/>
  <c r="K550" i="1"/>
  <c r="G22" i="2"/>
  <c r="J552" i="1"/>
  <c r="H140" i="1"/>
  <c r="L401" i="1"/>
  <c r="C139" i="2" s="1"/>
  <c r="L393" i="1"/>
  <c r="C138" i="2" s="1"/>
  <c r="A13" i="12"/>
  <c r="F22" i="13"/>
  <c r="C22" i="13" s="1"/>
  <c r="H25" i="13"/>
  <c r="C25" i="13" s="1"/>
  <c r="H571" i="1"/>
  <c r="L560" i="1"/>
  <c r="G192" i="1"/>
  <c r="H192" i="1"/>
  <c r="F552" i="1"/>
  <c r="L570" i="1"/>
  <c r="K551" i="1"/>
  <c r="G545" i="1" l="1"/>
  <c r="K549" i="1"/>
  <c r="K500" i="1"/>
  <c r="K598" i="1"/>
  <c r="G647" i="1" s="1"/>
  <c r="J651" i="1"/>
  <c r="J649" i="1"/>
  <c r="H461" i="1"/>
  <c r="H641" i="1" s="1"/>
  <c r="J641" i="1" s="1"/>
  <c r="J639" i="1"/>
  <c r="J476" i="1"/>
  <c r="H626" i="1" s="1"/>
  <c r="G408" i="1"/>
  <c r="H645" i="1" s="1"/>
  <c r="J645" i="1" s="1"/>
  <c r="H408" i="1"/>
  <c r="H644" i="1" s="1"/>
  <c r="J644" i="1" s="1"/>
  <c r="I408" i="1"/>
  <c r="J634" i="1"/>
  <c r="G474" i="1"/>
  <c r="I661" i="1"/>
  <c r="G338" i="1"/>
  <c r="G352" i="1" s="1"/>
  <c r="H338" i="1"/>
  <c r="H352" i="1" s="1"/>
  <c r="I662" i="1"/>
  <c r="E31" i="2"/>
  <c r="D145" i="2"/>
  <c r="C81" i="2"/>
  <c r="D18" i="2"/>
  <c r="J617" i="1"/>
  <c r="C18" i="2"/>
  <c r="K271" i="1"/>
  <c r="H33" i="13"/>
  <c r="L270" i="1"/>
  <c r="J647" i="1"/>
  <c r="C16" i="10"/>
  <c r="G257" i="1"/>
  <c r="G271" i="1" s="1"/>
  <c r="L211" i="1"/>
  <c r="L257" i="1" s="1"/>
  <c r="L271" i="1" s="1"/>
  <c r="C112" i="2"/>
  <c r="C115" i="2" s="1"/>
  <c r="H257" i="1"/>
  <c r="H271" i="1" s="1"/>
  <c r="C110" i="2"/>
  <c r="J257" i="1"/>
  <c r="J271" i="1" s="1"/>
  <c r="I257" i="1"/>
  <c r="I271" i="1" s="1"/>
  <c r="E33" i="13"/>
  <c r="D35" i="13" s="1"/>
  <c r="C16" i="13"/>
  <c r="C13" i="10"/>
  <c r="C12" i="10"/>
  <c r="L290" i="1"/>
  <c r="D5" i="13"/>
  <c r="C5" i="13" s="1"/>
  <c r="L328" i="1"/>
  <c r="H660" i="1" s="1"/>
  <c r="H664" i="1" s="1"/>
  <c r="H667" i="1" s="1"/>
  <c r="C11" i="10"/>
  <c r="K338" i="1"/>
  <c r="K352" i="1" s="1"/>
  <c r="C10" i="10"/>
  <c r="C35" i="10"/>
  <c r="C36" i="10" s="1"/>
  <c r="K552" i="1"/>
  <c r="L309" i="1"/>
  <c r="L534" i="1"/>
  <c r="L545" i="1" s="1"/>
  <c r="I460" i="1"/>
  <c r="I461" i="1" s="1"/>
  <c r="H642" i="1" s="1"/>
  <c r="J642" i="1" s="1"/>
  <c r="C114" i="2"/>
  <c r="L382" i="1"/>
  <c r="G636" i="1" s="1"/>
  <c r="J636" i="1" s="1"/>
  <c r="E122" i="2"/>
  <c r="E128" i="2" s="1"/>
  <c r="I112" i="1"/>
  <c r="C15" i="10"/>
  <c r="C29" i="10"/>
  <c r="C57" i="2"/>
  <c r="C62" i="2" s="1"/>
  <c r="C63" i="2" s="1"/>
  <c r="I52" i="1"/>
  <c r="H620" i="1" s="1"/>
  <c r="J620" i="1" s="1"/>
  <c r="C121" i="2"/>
  <c r="C128" i="2" s="1"/>
  <c r="H52" i="1"/>
  <c r="H619" i="1" s="1"/>
  <c r="J619" i="1" s="1"/>
  <c r="G112" i="1"/>
  <c r="C18" i="10"/>
  <c r="D12" i="13"/>
  <c r="C12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169" i="1"/>
  <c r="C39" i="10" s="1"/>
  <c r="G140" i="1"/>
  <c r="F140" i="1"/>
  <c r="F193" i="1" s="1"/>
  <c r="G63" i="2"/>
  <c r="J618" i="1"/>
  <c r="G42" i="2"/>
  <c r="G50" i="2" s="1"/>
  <c r="G51" i="2" s="1"/>
  <c r="J51" i="1"/>
  <c r="G16" i="2"/>
  <c r="G18" i="2" s="1"/>
  <c r="J19" i="1"/>
  <c r="G621" i="1" s="1"/>
  <c r="F33" i="13"/>
  <c r="F545" i="1"/>
  <c r="H434" i="1"/>
  <c r="D103" i="2"/>
  <c r="D104" i="2" s="1"/>
  <c r="I140" i="1"/>
  <c r="A22" i="12"/>
  <c r="J652" i="1"/>
  <c r="G571" i="1"/>
  <c r="I434" i="1"/>
  <c r="G434" i="1"/>
  <c r="E104" i="2"/>
  <c r="I663" i="1"/>
  <c r="C27" i="10"/>
  <c r="G635" i="1"/>
  <c r="J635" i="1" s="1"/>
  <c r="G627" i="1" l="1"/>
  <c r="F468" i="1"/>
  <c r="C104" i="2"/>
  <c r="H648" i="1"/>
  <c r="J648" i="1" s="1"/>
  <c r="E145" i="2"/>
  <c r="G629" i="1"/>
  <c r="H468" i="1"/>
  <c r="G632" i="1"/>
  <c r="F472" i="1"/>
  <c r="G672" i="1"/>
  <c r="C5" i="10" s="1"/>
  <c r="F104" i="2"/>
  <c r="F660" i="1"/>
  <c r="F664" i="1" s="1"/>
  <c r="F667" i="1" s="1"/>
  <c r="H672" i="1"/>
  <c r="C6" i="10" s="1"/>
  <c r="G104" i="2"/>
  <c r="L338" i="1"/>
  <c r="I193" i="1"/>
  <c r="G630" i="1" s="1"/>
  <c r="J630" i="1" s="1"/>
  <c r="C28" i="10"/>
  <c r="D13" i="10" s="1"/>
  <c r="C145" i="2"/>
  <c r="L408" i="1"/>
  <c r="D31" i="13"/>
  <c r="C31" i="13" s="1"/>
  <c r="C51" i="2"/>
  <c r="G631" i="1"/>
  <c r="J631" i="1" s="1"/>
  <c r="G193" i="1"/>
  <c r="G626" i="1"/>
  <c r="J626" i="1" s="1"/>
  <c r="J52" i="1"/>
  <c r="H621" i="1" s="1"/>
  <c r="J621" i="1" s="1"/>
  <c r="C38" i="10"/>
  <c r="F470" i="1" l="1"/>
  <c r="H627" i="1"/>
  <c r="J627" i="1" s="1"/>
  <c r="L352" i="1"/>
  <c r="G633" i="1" s="1"/>
  <c r="H472" i="1"/>
  <c r="H470" i="1"/>
  <c r="H629" i="1"/>
  <c r="J629" i="1"/>
  <c r="H632" i="1"/>
  <c r="F474" i="1"/>
  <c r="J632" i="1"/>
  <c r="G628" i="1"/>
  <c r="G468" i="1"/>
  <c r="F672" i="1"/>
  <c r="C4" i="10" s="1"/>
  <c r="I660" i="1"/>
  <c r="I664" i="1" s="1"/>
  <c r="I672" i="1" s="1"/>
  <c r="C7" i="10" s="1"/>
  <c r="D33" i="13"/>
  <c r="D36" i="13" s="1"/>
  <c r="D18" i="10"/>
  <c r="D15" i="10"/>
  <c r="D26" i="10"/>
  <c r="D17" i="10"/>
  <c r="D11" i="10"/>
  <c r="C30" i="10"/>
  <c r="D25" i="10"/>
  <c r="D12" i="10"/>
  <c r="G637" i="1"/>
  <c r="J637" i="1" s="1"/>
  <c r="H646" i="1"/>
  <c r="J646" i="1" s="1"/>
  <c r="D22" i="10"/>
  <c r="D27" i="10"/>
  <c r="D24" i="10"/>
  <c r="D10" i="10"/>
  <c r="D23" i="10"/>
  <c r="D21" i="10"/>
  <c r="D20" i="10"/>
  <c r="D16" i="10"/>
  <c r="D19" i="10"/>
  <c r="C41" i="10"/>
  <c r="D38" i="10" s="1"/>
  <c r="F476" i="1" l="1"/>
  <c r="H622" i="1" s="1"/>
  <c r="J622" i="1" s="1"/>
  <c r="I667" i="1"/>
  <c r="H474" i="1"/>
  <c r="H476" i="1" s="1"/>
  <c r="H624" i="1" s="1"/>
  <c r="J624" i="1" s="1"/>
  <c r="H633" i="1"/>
  <c r="J633" i="1"/>
  <c r="H628" i="1"/>
  <c r="G470" i="1"/>
  <c r="G476" i="1" s="1"/>
  <c r="H623" i="1" s="1"/>
  <c r="J628" i="1"/>
  <c r="D28" i="10"/>
  <c r="D37" i="10"/>
  <c r="D36" i="10"/>
  <c r="D35" i="10"/>
  <c r="D40" i="10"/>
  <c r="D39" i="10"/>
  <c r="J623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<sst xmlns="http://schemas.openxmlformats.org/spreadsheetml/2006/main" count="3959" uniqueCount="917">
  <si>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</si>
  <si>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</si>
  <si>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</si>
  <si>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</si>
  <si>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</si>
  <si>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</si>
  <si>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</si>
  <si>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</si>
  <si>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</si>
  <si>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</si>
  <si>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</si>
  <si>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</si>
  <si>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</si>
  <si>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</si>
  <si>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</si>
  <si>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</si>
  <si>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</si>
  <si>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</si>
  <si>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</si>
  <si>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</si>
  <si>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</si>
  <si>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</si>
  <si>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</si>
  <si>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</si>
  <si>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</si>
  <si>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</si>
  <si>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</si>
  <si>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</si>
  <si>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</si>
  <si>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</si>
  <si>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</si>
  <si>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</si>
  <si>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</si>
  <si>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</si>
  <si>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</si>
  <si>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</si>
  <si>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</si>
  <si>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</si>
  <si>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</si>
  <si>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</si>
  <si>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</si>
  <si>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</si>
  <si>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</si>
  <si>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</si>
  <si>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</si>
  <si>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</si>
  <si>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</si>
  <si>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</si>
  <si>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</si>
  <si>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</si>
  <si>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</si>
  <si>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</si>
  <si>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</si>
  <si>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</si>
  <si>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</si>
  <si>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</si>
  <si>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</si>
  <si>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</si>
  <si>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</si>
  <si>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</si>
  <si>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</si>
  <si>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</si>
  <si>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</si>
  <si>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</si>
  <si>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</si>
  <si>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</si>
  <si>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</si>
  <si>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</si>
  <si>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</si>
  <si>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</si>
  <si>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</si>
  <si>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</si>
  <si>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</si>
  <si>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</si>
  <si>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</si>
  <si>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</si>
  <si>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</si>
  <si>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</si>
  <si>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</si>
  <si>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</si>
  <si>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</si>
  <si>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</si>
  <si>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</si>
  <si>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</si>
  <si>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</si>
  <si>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</si>
  <si>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</si>
  <si>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</si>
  <si>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</si>
  <si>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</si>
  <si>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</si>
  <si>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</si>
  <si>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</si>
  <si>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</si>
  <si>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</si>
  <si>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</si>
  <si>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</si>
  <si>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</si>
  <si>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</si>
  <si>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</si>
  <si>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</si>
  <si>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</si>
  <si>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</si>
  <si>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</si>
  <si>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</si>
  <si>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</si>
  <si>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</si>
  <si>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</si>
  <si>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</si>
  <si>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</si>
  <si>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</si>
  <si>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</si>
  <si>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</si>
  <si>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</si>
  <si>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</si>
  <si>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</si>
  <si>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</si>
  <si>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</si>
  <si>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</si>
  <si>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</si>
  <si>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</si>
  <si>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</si>
  <si>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</si>
  <si>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</si>
  <si>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</si>
  <si>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</si>
  <si>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</si>
  <si>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</si>
  <si>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</si>
  <si>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</si>
  <si>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</si>
  <si>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</si>
  <si>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</si>
  <si>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</si>
  <si>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</si>
  <si>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</si>
  <si>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</si>
  <si>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</si>
  <si>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</si>
  <si>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</si>
  <si>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</si>
  <si>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</si>
  <si>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</si>
  <si>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</si>
  <si>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</si>
  <si>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</si>
  <si>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</si>
  <si>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</si>
  <si>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</si>
  <si>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</si>
  <si>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</si>
  <si>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</si>
  <si>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</si>
  <si>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</si>
  <si>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</si>
  <si>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</si>
  <si>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</si>
  <si>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</si>
  <si>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</si>
  <si>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</si>
  <si>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</si>
  <si>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</si>
  <si>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</si>
  <si>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</si>
  <si>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</si>
  <si>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</si>
  <si>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</si>
  <si>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</si>
  <si>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</si>
  <si>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</si>
  <si>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</si>
  <si>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</si>
  <si>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</si>
  <si>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</si>
  <si>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</si>
  <si>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</si>
  <si>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</si>
  <si>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</si>
  <si>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</si>
  <si>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</si>
  <si>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</si>
  <si>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</si>
  <si>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</si>
  <si>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</si>
  <si>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</si>
  <si>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</si>
  <si>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</si>
  <si>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</si>
  <si>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</si>
  <si>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</si>
  <si>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</si>
  <si>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</si>
  <si>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</si>
  <si>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</si>
  <si>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</si>
  <si>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</si>
  <si>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</si>
  <si>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</si>
  <si>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</si>
  <si>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</si>
  <si>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</si>
  <si>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</si>
  <si>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</si>
  <si>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</si>
  <si>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</si>
  <si>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</si>
  <si>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</si>
  <si>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</si>
  <si>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</si>
  <si>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</si>
  <si>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</si>
  <si>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</si>
  <si>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</si>
  <si>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</si>
  <si>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</si>
  <si>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</si>
  <si>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</si>
  <si>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</si>
  <si>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</si>
  <si>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</si>
  <si>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</si>
  <si>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</si>
  <si>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</si>
  <si>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</si>
  <si>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</si>
  <si>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</si>
  <si>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</si>
  <si>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</si>
  <si>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</si>
  <si>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</si>
  <si>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</si>
  <si>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</si>
  <si>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</si>
  <si>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</si>
  <si>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</si>
  <si>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</si>
  <si>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</si>
  <si>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</si>
  <si>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</si>
  <si>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</si>
  <si>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</si>
  <si>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</si>
  <si>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</si>
  <si>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</si>
  <si>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</si>
  <si>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</si>
  <si>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</si>
  <si>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</si>
  <si>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</si>
  <si>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</si>
  <si>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</si>
  <si>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</si>
  <si>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</si>
  <si>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</si>
  <si>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</si>
  <si>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</si>
  <si>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</si>
  <si>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</si>
  <si>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</si>
  <si>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</si>
  <si>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</si>
  <si>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</si>
  <si>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</si>
  <si>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</si>
  <si>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</si>
  <si>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</si>
  <si>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</si>
  <si>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</si>
  <si>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</si>
  <si>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</si>
  <si>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</si>
  <si>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</si>
  <si>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</si>
  <si>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</si>
  <si>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</si>
  <si>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</si>
  <si>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</si>
  <si>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</si>
  <si>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</si>
  <si>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</si>
  <si>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</si>
  <si>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</si>
  <si>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</si>
  <si>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</si>
  <si>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</si>
  <si>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</si>
  <si>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</si>
  <si>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</si>
  <si>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</si>
  <si>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</si>
  <si>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</si>
  <si>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</si>
  <si>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</si>
  <si>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</si>
  <si>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</si>
  <si>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</si>
  <si>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</si>
  <si>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</si>
  <si>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</si>
  <si>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</si>
  <si>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</si>
  <si>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</si>
  <si>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</si>
  <si>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</si>
  <si>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</si>
  <si>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</si>
  <si>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</si>
  <si>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</si>
  <si>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</si>
  <si>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</si>
  <si>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</si>
  <si>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</si>
  <si>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</si>
  <si>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</si>
  <si>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</si>
  <si>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</si>
  <si>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</si>
  <si>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</si>
  <si>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</si>
  <si>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</si>
  <si>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</si>
  <si>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</si>
  <si>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</si>
  <si>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</si>
  <si>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</si>
  <si>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</si>
  <si>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</si>
  <si>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</si>
  <si>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</si>
  <si>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</si>
  <si>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</si>
  <si>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</si>
  <si>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</si>
  <si>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</si>
  <si>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</si>
  <si>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</si>
  <si>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</si>
  <si>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</si>
  <si>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</si>
  <si>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</si>
  <si>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</si>
  <si>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</si>
  <si>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</si>
  <si>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</si>
  <si>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</si>
  <si>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</si>
  <si>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</si>
  <si>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</si>
  <si>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</si>
  <si>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</si>
  <si>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</si>
  <si>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</si>
  <si>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</si>
  <si>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</si>
  <si>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</si>
  <si>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</si>
  <si>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</si>
  <si>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</si>
  <si>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</si>
  <si>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</si>
  <si>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</si>
  <si>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</si>
  <si>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</si>
  <si>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</si>
  <si>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</si>
  <si>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</si>
  <si>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</si>
  <si>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</si>
  <si>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</si>
  <si>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</si>
  <si>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</si>
  <si>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</si>
  <si>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</si>
  <si>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</si>
  <si>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</si>
  <si>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</si>
  <si>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</si>
  <si>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</si>
  <si>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</si>
  <si>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</si>
  <si>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</si>
  <si>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</si>
  <si>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</si>
  <si>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</si>
  <si>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</si>
  <si>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</si>
  <si>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</si>
  <si>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</si>
  <si>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</si>
  <si>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</si>
  <si>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</si>
  <si>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</si>
  <si>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</si>
  <si>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</si>
  <si>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</si>
  <si>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</si>
  <si>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</si>
  <si>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</si>
  <si>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</si>
  <si>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</si>
  <si>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</si>
  <si>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</si>
  <si>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</si>
  <si>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</si>
  <si>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</si>
  <si>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</si>
  <si>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</si>
  <si>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</si>
  <si>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</si>
  <si>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</si>
  <si>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</si>
  <si>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</si>
  <si>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</si>
  <si>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</si>
  <si>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</si>
  <si>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</si>
  <si>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</si>
  <si>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</si>
  <si>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</si>
  <si>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</si>
  <si>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</si>
  <si>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</si>
  <si>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</si>
  <si>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</si>
  <si>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</si>
  <si>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</si>
  <si>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</si>
  <si>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</si>
  <si>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</si>
  <si>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</si>
  <si>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</si>
  <si>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</si>
  <si>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</si>
  <si>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</si>
  <si>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</si>
  <si>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</si>
  <si>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</si>
  <si>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</si>
  <si>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</si>
  <si>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</si>
  <si>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</si>
  <si>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</si>
  <si>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</si>
  <si>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</si>
  <si>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</si>
  <si>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</si>
  <si>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</si>
  <si>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</si>
  <si>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</si>
  <si>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</si>
  <si>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</si>
  <si>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</si>
  <si>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</si>
  <si>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</si>
  <si>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</si>
  <si>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</si>
  <si>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</si>
  <si>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</si>
  <si>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</si>
  <si>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</si>
  <si>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</si>
  <si>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</si>
  <si>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</si>
  <si>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</si>
  <si>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</si>
  <si>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</si>
  <si>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</si>
  <si>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</si>
  <si>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</si>
  <si>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</si>
  <si>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</si>
  <si>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</si>
  <si>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</si>
  <si>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</si>
  <si>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</si>
  <si>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</si>
  <si>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</si>
  <si>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</si>
  <si>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</si>
  <si>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</si>
  <si>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</si>
  <si>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</si>
  <si>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</si>
  <si>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</si>
  <si>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</si>
  <si>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</si>
  <si>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</si>
  <si>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</si>
  <si>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</si>
  <si>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</si>
  <si>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</si>
  <si>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</si>
  <si>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</si>
  <si>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</si>
  <si>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</si>
  <si>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</si>
  <si>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</si>
  <si>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</si>
  <si>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</si>
  <si>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</si>
  <si>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</si>
  <si>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</si>
  <si>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</si>
  <si>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</si>
  <si>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</si>
  <si>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</si>
  <si>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</si>
  <si>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</si>
  <si>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</si>
  <si>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</si>
  <si>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</si>
  <si>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</si>
  <si>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</si>
  <si>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</si>
  <si>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</si>
  <si>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</si>
  <si>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</si>
  <si>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</si>
  <si>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</si>
  <si>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</si>
  <si>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</si>
  <si>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</si>
  <si>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</si>
  <si>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</si>
  <si>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</si>
  <si>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</si>
  <si>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</si>
  <si>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</si>
  <si>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</si>
  <si>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</si>
  <si>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</si>
  <si>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</si>
  <si>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</si>
  <si>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</si>
  <si>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</si>
  <si>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</si>
  <si>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</si>
  <si>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</si>
  <si>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</si>
  <si>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</si>
  <si>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</si>
  <si>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</si>
  <si>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</si>
  <si>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</si>
  <si>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</si>
  <si>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</si>
  <si>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</si>
  <si>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</si>
  <si>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</si>
  <si>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</si>
  <si>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</si>
  <si>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</si>
  <si>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</si>
  <si>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</si>
  <si>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</si>
  <si>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</si>
  <si>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</si>
  <si>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</si>
  <si>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</si>
  <si>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</si>
  <si>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</si>
  <si>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</si>
  <si>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</si>
  <si>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</si>
  <si>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</si>
  <si>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</si>
  <si>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</si>
  <si>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</si>
  <si>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</si>
  <si>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</si>
  <si>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</si>
  <si>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</si>
  <si>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</si>
  <si>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</si>
  <si>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</si>
  <si>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</si>
  <si>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</si>
  <si>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</si>
  <si>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</si>
  <si>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</si>
  <si>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</si>
  <si>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</si>
  <si>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</si>
  <si>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</si>
  <si>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</si>
  <si>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</si>
  <si>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</si>
  <si>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</si>
  <si>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</si>
  <si>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</si>
  <si>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</si>
  <si>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</si>
  <si>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</si>
  <si>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</si>
  <si>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</si>
  <si>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</si>
  <si>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</si>
  <si>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</si>
  <si>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</si>
  <si>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</si>
  <si>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</si>
  <si>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</si>
  <si>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</si>
  <si>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</si>
  <si>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</si>
  <si>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</si>
  <si>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</si>
  <si>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</si>
  <si>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</si>
  <si>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</si>
  <si>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</si>
  <si>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</si>
  <si>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</si>
  <si>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</si>
  <si>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</si>
  <si>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</si>
  <si>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</si>
  <si>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</si>
  <si>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</si>
  <si>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</si>
  <si>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</si>
  <si>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</si>
  <si>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</si>
  <si>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</si>
  <si>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</si>
  <si>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</si>
  <si>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</si>
  <si>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</si>
  <si>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</si>
  <si>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</si>
  <si>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</si>
  <si>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</si>
  <si>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</si>
  <si>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</si>
  <si>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</si>
  <si>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</si>
  <si>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</si>
  <si>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</si>
  <si>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</si>
  <si>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</si>
  <si>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</si>
  <si>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</si>
  <si>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</si>
  <si>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</si>
  <si>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</si>
  <si>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</si>
  <si>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</si>
  <si>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</si>
  <si>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</si>
  <si>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</si>
  <si>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</si>
  <si>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</si>
  <si>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</si>
  <si>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</si>
  <si>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</si>
  <si>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</si>
  <si>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</si>
  <si>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</si>
  <si>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</si>
  <si>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</si>
  <si>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</si>
  <si>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</si>
  <si>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</si>
  <si>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</si>
  <si>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</si>
  <si>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</si>
  <si>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</si>
  <si>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</si>
  <si>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</si>
  <si>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</si>
  <si>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</si>
  <si>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</si>
  <si>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</si>
  <si>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</si>
  <si>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</si>
  <si>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</si>
  <si>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</si>
  <si>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</si>
  <si>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</si>
  <si>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</si>
  <si>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</si>
  <si>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</si>
  <si>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</si>
  <si>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</si>
  <si>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</si>
  <si>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</si>
  <si>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</si>
  <si>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</si>
  <si>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</si>
  <si>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</si>
  <si>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</si>
  <si>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</si>
  <si>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</si>
  <si>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</si>
  <si>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</si>
  <si>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</si>
  <si>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</si>
  <si>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</si>
  <si>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</si>
  <si>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</si>
  <si>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</si>
  <si>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</si>
  <si>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</si>
  <si>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</si>
  <si>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</si>
  <si>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</si>
  <si>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</si>
  <si>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</si>
  <si>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</si>
  <si>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</si>
  <si>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</si>
  <si>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</si>
  <si>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</si>
  <si>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</si>
  <si>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</si>
  <si>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</si>
  <si>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</si>
  <si>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</si>
  <si>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</si>
  <si>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</si>
  <si>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</si>
  <si>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</si>
  <si>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</si>
  <si>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</si>
  <si>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</si>
  <si>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</si>
  <si>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</si>
  <si>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</si>
  <si>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</si>
  <si>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</si>
  <si>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</si>
  <si>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</si>
  <si>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</si>
  <si>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</si>
  <si>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</si>
  <si>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</si>
  <si>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</si>
  <si>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</si>
  <si>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</si>
  <si>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</si>
  <si>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</si>
  <si>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</si>
  <si>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</si>
  <si>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</si>
  <si>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</si>
  <si>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</si>
  <si>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</si>
  <si>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</si>
  <si>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</si>
  <si>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</si>
  <si>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</si>
  <si>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</si>
  <si>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</si>
  <si>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</si>
  <si>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</si>
  <si>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</si>
  <si>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</si>
  <si>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</si>
  <si>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</si>
  <si>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</si>
  <si>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</si>
  <si>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</si>
  <si>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</si>
  <si>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</si>
  <si>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</si>
  <si>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</si>
  <si>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</si>
  <si>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</si>
  <si>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</si>
  <si>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</si>
  <si>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</si>
  <si>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</si>
  <si>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</si>
  <si>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</si>
  <si>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</si>
  <si>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</si>
  <si>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</si>
  <si>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</si>
  <si>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</si>
  <si>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</si>
  <si>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</si>
  <si>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</si>
  <si>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</si>
  <si>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</si>
  <si>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</si>
  <si>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</si>
  <si>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</si>
  <si>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</si>
  <si>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</si>
  <si>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</si>
  <si>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</si>
  <si>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</si>
  <si>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</si>
  <si>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</si>
  <si>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</si>
  <si>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</si>
  <si>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</si>
  <si>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</si>
  <si>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</si>
  <si>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</si>
  <si>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</si>
  <si>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</si>
  <si>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</si>
  <si>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</si>
  <si>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</si>
  <si>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</si>
  <si>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</si>
  <si>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</si>
  <si>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</si>
  <si>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</si>
  <si>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</si>
  <si>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</si>
  <si>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</si>
  <si>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</si>
  <si>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</si>
  <si>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</si>
  <si>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</si>
  <si>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</si>
  <si>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</si>
  <si>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</si>
  <si>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</si>
  <si>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</si>
  <si>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</si>
  <si>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</si>
  <si>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</si>
  <si>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</si>
  <si>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</si>
  <si>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</si>
  <si>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</si>
  <si>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</si>
  <si>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</si>
  <si>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</si>
  <si>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</si>
  <si>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</si>
  <si>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</si>
  <si>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</si>
  <si>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</si>
  <si>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</si>
  <si>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</si>
  <si>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</si>
  <si>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</si>
  <si>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</si>
  <si>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</si>
  <si>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</si>
  <si>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</si>
  <si>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</si>
  <si>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</si>
  <si>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</si>
  <si>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</si>
  <si>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</si>
  <si>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</si>
  <si>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</si>
  <si>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</si>
  <si>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</si>
  <si>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</si>
  <si>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</si>
  <si>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</si>
  <si>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</si>
  <si>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</si>
  <si>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</si>
  <si>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</si>
  <si>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</si>
  <si>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</si>
  <si>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</si>
  <si>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</si>
  <si>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</si>
  <si>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</si>
  <si>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</si>
  <si>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</si>
  <si>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</si>
  <si>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</si>
  <si>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</si>
  <si>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</si>
  <si>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</si>
  <si>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</si>
  <si>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</si>
  <si>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</si>
  <si>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</si>
  <si>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</si>
  <si>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</si>
  <si>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</si>
  <si>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</si>
  <si>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</si>
  <si>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</si>
  <si>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</si>
  <si>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</si>
  <si>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</si>
  <si>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</si>
  <si>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</si>
  <si>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</si>
  <si>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</si>
  <si>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</si>
  <si>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</si>
  <si>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</si>
  <si>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</si>
  <si>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</si>
  <si>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</si>
  <si>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</si>
  <si>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</si>
  <si>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</si>
  <si>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</si>
  <si>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</si>
  <si>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</si>
  <si>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</si>
  <si>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</si>
  <si>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</si>
  <si>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</si>
  <si>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</si>
  <si>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</si>
  <si>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</si>
  <si>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</si>
  <si>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</si>
  <si>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08/96</t>
  </si>
  <si>
    <t>05/15</t>
  </si>
  <si>
    <t>02/17</t>
  </si>
  <si>
    <t>07/19</t>
  </si>
  <si>
    <t>Gilmanton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</si>
</sst>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117" sqref="F11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195</v>
      </c>
      <c r="C2" s="21">
        <v>195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2112062.9</v>
      </c>
      <c r="G9" s="18">
        <v>75</v>
      </c>
      <c r="H9" s="18"/>
      <c r="I9" s="18"/>
      <c r="J9" s="67">
        <f>SUM(I439)</f>
        <v>653750.88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77115.97</v>
      </c>
      <c r="G12" s="18">
        <v>9418.5300000000007</v>
      </c>
      <c r="H12" s="18">
        <v>3319.3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2490.2800000000002</v>
      </c>
      <c r="H13" s="18">
        <v>77116.41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9035.4699999999993</v>
      </c>
      <c r="G14" s="18">
        <v>1034.7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51557.05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2249771.39</v>
      </c>
      <c r="G19" s="41">
        <f>SUM(G9:G18)</f>
        <v>13018.510000000002</v>
      </c>
      <c r="H19" s="41">
        <f>SUM(H9:H18)</f>
        <v>80435.710000000006</v>
      </c>
      <c r="I19" s="41">
        <f>SUM(I9:I18)</f>
        <v>0</v>
      </c>
      <c r="J19" s="41">
        <f>SUM(J9:J18)</f>
        <v>653750.88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12737.83</v>
      </c>
      <c r="G22" s="18"/>
      <c r="H22" s="18">
        <v>77116.41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1290487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51399.86</v>
      </c>
      <c r="G24" s="18">
        <v>465.97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703.34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2941.83</v>
      </c>
      <c r="G30" s="18">
        <v>2764.02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1358269.8600000003</v>
      </c>
      <c r="G32" s="41">
        <f>SUM(G22:G31)</f>
        <v>3229.99</v>
      </c>
      <c r="H32" s="41">
        <f>SUM(H22:H31)</f>
        <v>77116.41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51557.05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9788.52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3319.3</v>
      </c>
      <c r="I48" s="18"/>
      <c r="J48" s="13">
        <f>SUM(I459)</f>
        <v>653750.88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158982.5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680961.98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891501.53</v>
      </c>
      <c r="G51" s="41">
        <f>SUM(G35:G50)</f>
        <v>9788.52</v>
      </c>
      <c r="H51" s="41">
        <f>SUM(H35:H50)</f>
        <v>3319.3</v>
      </c>
      <c r="I51" s="41">
        <f>SUM(I35:I50)</f>
        <v>0</v>
      </c>
      <c r="J51" s="41">
        <f>SUM(J35:J50)</f>
        <v>653750.88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2249771.3900000006</v>
      </c>
      <c r="G52" s="41">
        <f>G51+G32</f>
        <v>13018.51</v>
      </c>
      <c r="H52" s="41">
        <f>H51+H32</f>
        <v>80435.710000000006</v>
      </c>
      <c r="I52" s="41">
        <f>I51+I32</f>
        <v>0</v>
      </c>
      <c r="J52" s="41">
        <f>J51+J32</f>
        <v>653750.88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7302421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7302421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8259.69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8259.69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4569.76</v>
      </c>
      <c r="G96" s="18"/>
      <c r="H96" s="18"/>
      <c r="I96" s="18"/>
      <c r="J96" s="18">
        <v>13223.29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54295.16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>
        <v>4922.5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839.56</v>
      </c>
      <c r="G110" s="18">
        <v>678.64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5409.32</v>
      </c>
      <c r="G111" s="41">
        <f>SUM(G96:G110)</f>
        <v>54973.8</v>
      </c>
      <c r="H111" s="41">
        <f>SUM(H96:H110)</f>
        <v>4922.5</v>
      </c>
      <c r="I111" s="41">
        <f>SUM(I96:I110)</f>
        <v>0</v>
      </c>
      <c r="J111" s="41">
        <f>SUM(J96:J110)</f>
        <v>13223.29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7316090.0100000007</v>
      </c>
      <c r="G112" s="41">
        <f>G60+G111</f>
        <v>54973.8</v>
      </c>
      <c r="H112" s="41">
        <f>H60+H79+H94+H111</f>
        <v>4922.5</v>
      </c>
      <c r="I112" s="41">
        <f>I60+I111</f>
        <v>0</v>
      </c>
      <c r="J112" s="41">
        <f>J60+J111</f>
        <v>13223.29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f>1216003.14-100530</f>
        <v>1115473.1399999999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1028548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f>3831.72+100530</f>
        <v>104361.72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2248382.86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65158.25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62142.27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1775.26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127300.51999999999</v>
      </c>
      <c r="G136" s="41">
        <f>SUM(G123:G135)</f>
        <v>1775.26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2375683.38</v>
      </c>
      <c r="G140" s="41">
        <f>G121+SUM(G136:G137)</f>
        <v>1775.26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>
        <v>12502.31</v>
      </c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12502.31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8199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49892.83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19900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38850.31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111795.15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62508.35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62508.35</v>
      </c>
      <c r="G162" s="41">
        <f>SUM(G150:G161)</f>
        <v>38850.31</v>
      </c>
      <c r="H162" s="41">
        <f>SUM(H150:H161)</f>
        <v>189786.97999999998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62508.35</v>
      </c>
      <c r="G169" s="41">
        <f>G147+G162+SUM(G163:G168)</f>
        <v>51352.619999999995</v>
      </c>
      <c r="H169" s="41">
        <f>H147+H162+SUM(H163:H168)</f>
        <v>189786.97999999998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41193</v>
      </c>
      <c r="H179" s="18"/>
      <c r="I179" s="18">
        <v>22807</v>
      </c>
      <c r="J179" s="18">
        <v>77957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41193</v>
      </c>
      <c r="H183" s="41">
        <f>SUM(H179:H182)</f>
        <v>0</v>
      </c>
      <c r="I183" s="41">
        <f>SUM(I179:I182)</f>
        <v>22807</v>
      </c>
      <c r="J183" s="41">
        <f>SUM(J179:J182)</f>
        <v>77957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41193</v>
      </c>
      <c r="H192" s="41">
        <f>+H183+SUM(H188:H191)</f>
        <v>0</v>
      </c>
      <c r="I192" s="41">
        <f>I177+I183+SUM(I188:I191)</f>
        <v>22807</v>
      </c>
      <c r="J192" s="41">
        <f>J183</f>
        <v>77957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9754281.7400000002</v>
      </c>
      <c r="G193" s="47">
        <f>G112+G140+G169+G192</f>
        <v>149294.68</v>
      </c>
      <c r="H193" s="47">
        <f>H112+H140+H169+H192</f>
        <v>194709.47999999998</v>
      </c>
      <c r="I193" s="47">
        <f>I112+I140+I169+I192</f>
        <v>22807</v>
      </c>
      <c r="J193" s="47">
        <f>J112+J140+J192</f>
        <v>91180.290000000008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1885356+74858.08</f>
        <v>1960214.08</v>
      </c>
      <c r="G197" s="18">
        <f>955277-2903.18</f>
        <v>952373.82</v>
      </c>
      <c r="H197" s="18">
        <v>15962.1</v>
      </c>
      <c r="I197" s="18">
        <v>55883.74</v>
      </c>
      <c r="J197" s="18">
        <v>2512.6999999999998</v>
      </c>
      <c r="K197" s="18"/>
      <c r="L197" s="19">
        <f>SUM(F197:K197)</f>
        <v>2986946.4400000004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156735.94+90976.53</f>
        <v>247712.47</v>
      </c>
      <c r="G198" s="18">
        <v>167162</v>
      </c>
      <c r="H198" s="18">
        <f>105039.08+4022.21+44140.65</f>
        <v>153201.94</v>
      </c>
      <c r="I198" s="18">
        <v>10312.290000000001</v>
      </c>
      <c r="J198" s="18"/>
      <c r="K198" s="18"/>
      <c r="L198" s="19">
        <f>SUM(F198:K198)</f>
        <v>578388.69999999995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37950</v>
      </c>
      <c r="G200" s="18">
        <v>2903.22</v>
      </c>
      <c r="H200" s="18">
        <v>7537.5</v>
      </c>
      <c r="I200" s="18">
        <v>4567.6499999999996</v>
      </c>
      <c r="J200" s="18"/>
      <c r="K200" s="18">
        <v>13946.09</v>
      </c>
      <c r="L200" s="19">
        <f>SUM(F200:K200)</f>
        <v>66904.460000000006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100626.96+45911.2+943.66+49640.8+40011.03+1302.72+50180.37</f>
        <v>288616.74</v>
      </c>
      <c r="G202" s="18">
        <v>147989</v>
      </c>
      <c r="H202" s="18">
        <f>3912.5+33813.63+4309.2+2416+12442.75</f>
        <v>56894.079999999994</v>
      </c>
      <c r="I202" s="18">
        <f>3762.43+1322.85+265.76+271.05</f>
        <v>5622.09</v>
      </c>
      <c r="J202" s="18"/>
      <c r="K202" s="18">
        <v>1159.98</v>
      </c>
      <c r="L202" s="19">
        <f t="shared" ref="L202:L208" si="0">SUM(F202:K202)</f>
        <v>500281.89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55742.98+48472+5912.5+8197.58</f>
        <v>118325.06000000001</v>
      </c>
      <c r="G203" s="18">
        <f>12912.8+31689</f>
        <v>44601.8</v>
      </c>
      <c r="H203" s="18">
        <f>9944.74+7796.55+43.99+809.95</f>
        <v>18595.230000000003</v>
      </c>
      <c r="I203" s="18">
        <f>550.89+8167.67+11790.32+29626.95</f>
        <v>50135.83</v>
      </c>
      <c r="J203" s="18">
        <v>45881.43</v>
      </c>
      <c r="K203" s="18"/>
      <c r="L203" s="19">
        <f t="shared" si="0"/>
        <v>277539.35000000003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6328.9+4366.74+1200+64296.96+46831.01+59328</f>
        <v>182351.61000000002</v>
      </c>
      <c r="G204" s="18">
        <v>57992</v>
      </c>
      <c r="H204" s="18">
        <f>12600+750.5+9943+3859.04+1979+3192.83+13508.87+1998.63+2880.9+1045.08-1917.53+2242.44+2211.46</f>
        <v>54294.220000000008</v>
      </c>
      <c r="I204" s="18">
        <f>2713.9+1350</f>
        <v>4063.9</v>
      </c>
      <c r="J204" s="18">
        <v>3405</v>
      </c>
      <c r="K204" s="18">
        <f>8291.17+3054</f>
        <v>11345.17</v>
      </c>
      <c r="L204" s="19">
        <f t="shared" si="0"/>
        <v>313451.90000000002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84029.46+74946.16+62056.47</f>
        <v>221032.09</v>
      </c>
      <c r="G205" s="18">
        <v>108378</v>
      </c>
      <c r="H205" s="18">
        <f>4373.79+844.95+53+2426.77+2000+2539.52</f>
        <v>12238.03</v>
      </c>
      <c r="I205" s="18">
        <f>2349.14+3654</f>
        <v>6003.1399999999994</v>
      </c>
      <c r="J205" s="18"/>
      <c r="K205" s="18">
        <v>2253.54</v>
      </c>
      <c r="L205" s="19">
        <f t="shared" si="0"/>
        <v>349904.8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f>46259.81+44602.09</f>
        <v>90861.9</v>
      </c>
      <c r="G206" s="18">
        <v>23450</v>
      </c>
      <c r="H206" s="18">
        <f>10536.91+1043.12</f>
        <v>11580.029999999999</v>
      </c>
      <c r="I206" s="18">
        <v>938.14</v>
      </c>
      <c r="J206" s="18">
        <v>4945.54</v>
      </c>
      <c r="K206" s="18">
        <v>1794.06</v>
      </c>
      <c r="L206" s="19">
        <f t="shared" si="0"/>
        <v>133569.66999999998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131848.42+14876.29</f>
        <v>146724.71000000002</v>
      </c>
      <c r="G207" s="18">
        <v>92533</v>
      </c>
      <c r="H207" s="18">
        <f>16400+11606.85+1350+3571.96+9000+7973.42+575+8692.76+39972.06</f>
        <v>99142.049999999988</v>
      </c>
      <c r="I207" s="18">
        <f>22064.12+62380.01+4297.19+40491.5</f>
        <v>129232.82</v>
      </c>
      <c r="J207" s="18"/>
      <c r="K207" s="18"/>
      <c r="L207" s="19">
        <f t="shared" si="0"/>
        <v>467632.58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354482.08</v>
      </c>
      <c r="I208" s="18"/>
      <c r="J208" s="18"/>
      <c r="K208" s="18"/>
      <c r="L208" s="19">
        <f t="shared" si="0"/>
        <v>354482.08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3293788.6599999997</v>
      </c>
      <c r="G211" s="41">
        <f t="shared" si="1"/>
        <v>1597382.8399999999</v>
      </c>
      <c r="H211" s="41">
        <f t="shared" si="1"/>
        <v>783927.26</v>
      </c>
      <c r="I211" s="41">
        <f t="shared" si="1"/>
        <v>266759.59999999998</v>
      </c>
      <c r="J211" s="41">
        <f t="shared" si="1"/>
        <v>56744.67</v>
      </c>
      <c r="K211" s="41">
        <f t="shared" si="1"/>
        <v>30498.84</v>
      </c>
      <c r="L211" s="41">
        <f t="shared" si="1"/>
        <v>6029101.870000001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2918134.21</v>
      </c>
      <c r="I233" s="18"/>
      <c r="J233" s="18"/>
      <c r="K233" s="18"/>
      <c r="L233" s="19">
        <f>SUM(F233:K233)</f>
        <v>2918134.21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f>70495.37+38790.5+80</f>
        <v>109365.87</v>
      </c>
      <c r="I234" s="18"/>
      <c r="J234" s="18"/>
      <c r="K234" s="18"/>
      <c r="L234" s="19">
        <f>SUM(F234:K234)</f>
        <v>109365.87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976.4</v>
      </c>
      <c r="I238" s="18"/>
      <c r="J238" s="18"/>
      <c r="K238" s="18"/>
      <c r="L238" s="19">
        <f t="shared" ref="L238:L244" si="4">SUM(F238:K238)</f>
        <v>976.4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117626.08</v>
      </c>
      <c r="I244" s="18"/>
      <c r="J244" s="18"/>
      <c r="K244" s="18"/>
      <c r="L244" s="19">
        <f t="shared" si="4"/>
        <v>117626.08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3146102.56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3146102.56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3293788.6599999997</v>
      </c>
      <c r="G257" s="41">
        <f t="shared" si="8"/>
        <v>1597382.8399999999</v>
      </c>
      <c r="H257" s="41">
        <f t="shared" si="8"/>
        <v>3930029.8200000003</v>
      </c>
      <c r="I257" s="41">
        <f t="shared" si="8"/>
        <v>266759.59999999998</v>
      </c>
      <c r="J257" s="41">
        <f t="shared" si="8"/>
        <v>56744.67</v>
      </c>
      <c r="K257" s="41">
        <f t="shared" si="8"/>
        <v>30498.84</v>
      </c>
      <c r="L257" s="41">
        <f t="shared" si="8"/>
        <v>9175204.4300000016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236400</v>
      </c>
      <c r="L260" s="19">
        <f>SUM(F260:K260)</f>
        <v>236400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8086.11</v>
      </c>
      <c r="L261" s="19">
        <f>SUM(F261:K261)</f>
        <v>8086.11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41193</v>
      </c>
      <c r="L263" s="19">
        <f>SUM(F263:K263)</f>
        <v>41193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22807</v>
      </c>
      <c r="L265" s="19">
        <f t="shared" si="9"/>
        <v>22807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77957</v>
      </c>
      <c r="L266" s="19">
        <f t="shared" si="9"/>
        <v>77957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386443.11</v>
      </c>
      <c r="L270" s="41">
        <f t="shared" si="9"/>
        <v>386443.11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3293788.6599999997</v>
      </c>
      <c r="G271" s="42">
        <f t="shared" si="11"/>
        <v>1597382.8399999999</v>
      </c>
      <c r="H271" s="42">
        <f t="shared" si="11"/>
        <v>3930029.8200000003</v>
      </c>
      <c r="I271" s="42">
        <f t="shared" si="11"/>
        <v>266759.59999999998</v>
      </c>
      <c r="J271" s="42">
        <f t="shared" si="11"/>
        <v>56744.67</v>
      </c>
      <c r="K271" s="42">
        <f t="shared" si="11"/>
        <v>416941.95</v>
      </c>
      <c r="L271" s="42">
        <f t="shared" si="11"/>
        <v>9561647.540000001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46209.14+19900+1339.08</f>
        <v>67448.22</v>
      </c>
      <c r="G276" s="18"/>
      <c r="H276" s="18"/>
      <c r="I276" s="18">
        <f>2046.73</f>
        <v>2046.73</v>
      </c>
      <c r="J276" s="18"/>
      <c r="K276" s="18"/>
      <c r="L276" s="19">
        <f>SUM(F276:K276)</f>
        <v>69494.95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20722.24+29632</f>
        <v>50354.240000000005</v>
      </c>
      <c r="G277" s="18">
        <f>7190+400+1585.26+2314.68+56</f>
        <v>11545.94</v>
      </c>
      <c r="H277" s="18">
        <f>2277+1604.1+3000+3373.34</f>
        <v>10254.44</v>
      </c>
      <c r="I277" s="18"/>
      <c r="J277" s="18"/>
      <c r="K277" s="18"/>
      <c r="L277" s="19">
        <f>SUM(F277:K277)</f>
        <v>72154.62000000001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5515.7</v>
      </c>
      <c r="G281" s="18">
        <f>1000+421.95+864.3</f>
        <v>2286.25</v>
      </c>
      <c r="H281" s="18">
        <v>9500</v>
      </c>
      <c r="I281" s="18"/>
      <c r="J281" s="18"/>
      <c r="K281" s="18"/>
      <c r="L281" s="19">
        <f t="shared" ref="L281:L287" si="12">SUM(F281:K281)</f>
        <v>17301.95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f>136.96+3703.56+4430+4756.76+1421.06</f>
        <v>14448.34</v>
      </c>
      <c r="I282" s="18"/>
      <c r="J282" s="18"/>
      <c r="K282" s="18"/>
      <c r="L282" s="19">
        <f t="shared" si="12"/>
        <v>14448.34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6592</v>
      </c>
      <c r="G283" s="18">
        <f>194.61+504.29+736.3</f>
        <v>1435.2</v>
      </c>
      <c r="H283" s="18"/>
      <c r="I283" s="18"/>
      <c r="J283" s="18"/>
      <c r="K283" s="18"/>
      <c r="L283" s="19">
        <f t="shared" si="12"/>
        <v>8027.2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1500</v>
      </c>
      <c r="G284" s="18"/>
      <c r="H284" s="18"/>
      <c r="I284" s="18"/>
      <c r="J284" s="18"/>
      <c r="K284" s="18"/>
      <c r="L284" s="19">
        <f t="shared" si="12"/>
        <v>1500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6859.92</v>
      </c>
      <c r="G287" s="18"/>
      <c r="H287" s="18"/>
      <c r="I287" s="18"/>
      <c r="J287" s="18"/>
      <c r="K287" s="18"/>
      <c r="L287" s="19">
        <f t="shared" si="12"/>
        <v>6859.92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138270.08000000002</v>
      </c>
      <c r="G290" s="42">
        <f t="shared" si="13"/>
        <v>15267.390000000001</v>
      </c>
      <c r="H290" s="42">
        <f t="shared" si="13"/>
        <v>34202.78</v>
      </c>
      <c r="I290" s="42">
        <f t="shared" si="13"/>
        <v>2046.73</v>
      </c>
      <c r="J290" s="42">
        <f t="shared" si="13"/>
        <v>0</v>
      </c>
      <c r="K290" s="42">
        <f t="shared" si="13"/>
        <v>0</v>
      </c>
      <c r="L290" s="41">
        <f t="shared" si="13"/>
        <v>189786.98000000004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>
        <v>1603.2</v>
      </c>
      <c r="I335" s="18"/>
      <c r="J335" s="18"/>
      <c r="K335" s="18"/>
      <c r="L335" s="19">
        <f t="shared" si="18"/>
        <v>1603.2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1603.2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1603.2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138270.08000000002</v>
      </c>
      <c r="G338" s="41">
        <f t="shared" si="20"/>
        <v>15267.390000000001</v>
      </c>
      <c r="H338" s="41">
        <f t="shared" si="20"/>
        <v>35805.979999999996</v>
      </c>
      <c r="I338" s="41">
        <f t="shared" si="20"/>
        <v>2046.73</v>
      </c>
      <c r="J338" s="41">
        <f t="shared" si="20"/>
        <v>0</v>
      </c>
      <c r="K338" s="41">
        <f t="shared" si="20"/>
        <v>0</v>
      </c>
      <c r="L338" s="41">
        <f t="shared" si="20"/>
        <v>191390.18000000005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138270.08000000002</v>
      </c>
      <c r="G352" s="41">
        <f>G338</f>
        <v>15267.390000000001</v>
      </c>
      <c r="H352" s="41">
        <f>H338</f>
        <v>35805.979999999996</v>
      </c>
      <c r="I352" s="41">
        <f>I338</f>
        <v>2046.73</v>
      </c>
      <c r="J352" s="41">
        <f>J338</f>
        <v>0</v>
      </c>
      <c r="K352" s="47">
        <f>K338+K351</f>
        <v>0</v>
      </c>
      <c r="L352" s="41">
        <f>L338+L351</f>
        <v>191390.18000000005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27884.16+33693.94</f>
        <v>61578.100000000006</v>
      </c>
      <c r="G358" s="18">
        <v>11977.59</v>
      </c>
      <c r="H358" s="18"/>
      <c r="I358" s="18">
        <f>52773.22+12502.31</f>
        <v>65275.53</v>
      </c>
      <c r="J358" s="18">
        <v>674.94</v>
      </c>
      <c r="K358" s="18"/>
      <c r="L358" s="13">
        <f>SUM(F358:K358)</f>
        <v>139506.16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61578.100000000006</v>
      </c>
      <c r="G362" s="47">
        <f t="shared" si="22"/>
        <v>11977.59</v>
      </c>
      <c r="H362" s="47">
        <f t="shared" si="22"/>
        <v>0</v>
      </c>
      <c r="I362" s="47">
        <f t="shared" si="22"/>
        <v>65275.53</v>
      </c>
      <c r="J362" s="47">
        <f t="shared" si="22"/>
        <v>674.94</v>
      </c>
      <c r="K362" s="47">
        <f t="shared" si="22"/>
        <v>0</v>
      </c>
      <c r="L362" s="47">
        <f t="shared" si="22"/>
        <v>139506.16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60638.22</v>
      </c>
      <c r="G367" s="18"/>
      <c r="H367" s="18"/>
      <c r="I367" s="56">
        <f>SUM(F367:H367)</f>
        <v>60638.22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4637.3100000000004</v>
      </c>
      <c r="G368" s="63"/>
      <c r="H368" s="63"/>
      <c r="I368" s="56">
        <f>SUM(F368:H368)</f>
        <v>4637.3100000000004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65275.53</v>
      </c>
      <c r="G369" s="47">
        <f>SUM(G367:G368)</f>
        <v>0</v>
      </c>
      <c r="H369" s="47">
        <f>SUM(H367:H368)</f>
        <v>0</v>
      </c>
      <c r="I369" s="47">
        <f>SUM(I367:I368)</f>
        <v>65275.53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>
        <v>36430</v>
      </c>
      <c r="H392" s="18">
        <v>2612.04</v>
      </c>
      <c r="I392" s="18"/>
      <c r="J392" s="24" t="s">
        <v>288</v>
      </c>
      <c r="K392" s="24" t="s">
        <v>288</v>
      </c>
      <c r="L392" s="56">
        <f t="shared" si="25"/>
        <v>39042.04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36430</v>
      </c>
      <c r="H393" s="139">
        <f>SUM(H387:H392)</f>
        <v>2612.04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39042.04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41527</v>
      </c>
      <c r="H396" s="18">
        <v>5230.3500000000004</v>
      </c>
      <c r="I396" s="18"/>
      <c r="J396" s="24" t="s">
        <v>288</v>
      </c>
      <c r="K396" s="24" t="s">
        <v>288</v>
      </c>
      <c r="L396" s="56">
        <f t="shared" si="26"/>
        <v>46757.35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0</v>
      </c>
      <c r="H397" s="18">
        <v>4124.68</v>
      </c>
      <c r="I397" s="18"/>
      <c r="J397" s="24" t="s">
        <v>288</v>
      </c>
      <c r="K397" s="24" t="s">
        <v>288</v>
      </c>
      <c r="L397" s="56">
        <f t="shared" si="26"/>
        <v>4124.68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0</v>
      </c>
      <c r="H398" s="18">
        <v>734.15</v>
      </c>
      <c r="I398" s="18"/>
      <c r="J398" s="24" t="s">
        <v>288</v>
      </c>
      <c r="K398" s="24" t="s">
        <v>288</v>
      </c>
      <c r="L398" s="56">
        <f t="shared" si="26"/>
        <v>734.15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v>0</v>
      </c>
      <c r="H399" s="18">
        <v>264.27</v>
      </c>
      <c r="I399" s="18"/>
      <c r="J399" s="24" t="s">
        <v>288</v>
      </c>
      <c r="K399" s="24" t="s">
        <v>288</v>
      </c>
      <c r="L399" s="56">
        <f t="shared" si="26"/>
        <v>264.27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257.8</v>
      </c>
      <c r="I400" s="18"/>
      <c r="J400" s="24" t="s">
        <v>288</v>
      </c>
      <c r="K400" s="24" t="s">
        <v>288</v>
      </c>
      <c r="L400" s="56">
        <f t="shared" si="26"/>
        <v>257.8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41527</v>
      </c>
      <c r="H401" s="47">
        <f>SUM(H395:H400)</f>
        <v>10611.25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52138.25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77957</v>
      </c>
      <c r="H408" s="47">
        <f>H393+H401+H407</f>
        <v>13223.29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91180.290000000008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134220.24</v>
      </c>
      <c r="G439" s="18">
        <v>506690.52</v>
      </c>
      <c r="H439" s="18">
        <v>12840.12</v>
      </c>
      <c r="I439" s="56">
        <f t="shared" ref="I439:I445" si="33">SUM(F439:H439)</f>
        <v>653750.88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134220.24</v>
      </c>
      <c r="G446" s="13">
        <f>SUM(G439:G445)</f>
        <v>506690.52</v>
      </c>
      <c r="H446" s="13">
        <f>SUM(H439:H445)</f>
        <v>12840.12</v>
      </c>
      <c r="I446" s="13">
        <f>SUM(I439:I445)</f>
        <v>653750.88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134220.24</v>
      </c>
      <c r="G459" s="18">
        <v>506690.52</v>
      </c>
      <c r="H459" s="18">
        <v>12840.12</v>
      </c>
      <c r="I459" s="56">
        <f t="shared" si="34"/>
        <v>653750.88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134220.24</v>
      </c>
      <c r="G460" s="83">
        <f>SUM(G454:G459)</f>
        <v>506690.52</v>
      </c>
      <c r="H460" s="83">
        <f>SUM(H454:H459)</f>
        <v>12840.12</v>
      </c>
      <c r="I460" s="83">
        <f>SUM(I454:I459)</f>
        <v>653750.88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134220.24</v>
      </c>
      <c r="G461" s="42">
        <f>G452+G460</f>
        <v>506690.52</v>
      </c>
      <c r="H461" s="42">
        <f>H452+H460</f>
        <v>12840.12</v>
      </c>
      <c r="I461" s="42">
        <f>I452+I460</f>
        <v>653750.88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698867.33</v>
      </c>
      <c r="G465" s="18">
        <v>0</v>
      </c>
      <c r="H465" s="18">
        <v>0</v>
      </c>
      <c r="I465" s="18">
        <v>-22807</v>
      </c>
      <c r="J465" s="18">
        <v>562570.59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9754281.7400000002</v>
      </c>
      <c r="G468" s="18">
        <f>G193</f>
        <v>149294.68</v>
      </c>
      <c r="H468" s="18">
        <f>H193</f>
        <v>194709.47999999998</v>
      </c>
      <c r="I468" s="18">
        <v>22807</v>
      </c>
      <c r="J468" s="18">
        <f>L408</f>
        <v>91180.290000000008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9754281.7400000002</v>
      </c>
      <c r="G470" s="53">
        <f>SUM(G468:G469)</f>
        <v>149294.68</v>
      </c>
      <c r="H470" s="53">
        <f>SUM(H468:H469)</f>
        <v>194709.47999999998</v>
      </c>
      <c r="I470" s="53">
        <f>SUM(I468:I469)</f>
        <v>22807</v>
      </c>
      <c r="J470" s="53">
        <f>SUM(J468:J469)</f>
        <v>91180.290000000008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9561647.540000001</v>
      </c>
      <c r="G472" s="18">
        <f>L362</f>
        <v>139506.16</v>
      </c>
      <c r="H472" s="18">
        <f>L338</f>
        <v>191390.18000000005</v>
      </c>
      <c r="I472" s="18"/>
      <c r="J472" s="18">
        <f>L427</f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9561647.540000001</v>
      </c>
      <c r="G474" s="53">
        <f>SUM(G472:G473)</f>
        <v>139506.16</v>
      </c>
      <c r="H474" s="53">
        <f>SUM(H472:H473)</f>
        <v>191390.18000000005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891501.52999999933</v>
      </c>
      <c r="G476" s="53">
        <f>(G465+G470)- G474</f>
        <v>9788.5199999999895</v>
      </c>
      <c r="H476" s="53">
        <f>(H465+H470)- H474</f>
        <v>3319.2999999999302</v>
      </c>
      <c r="I476" s="53">
        <f>(I465+I470)- I474</f>
        <v>0</v>
      </c>
      <c r="J476" s="53">
        <f>(J465+J470)- J474</f>
        <v>653750.88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5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 t="s">
        <v>913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915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2460000</v>
      </c>
      <c r="G493" s="18">
        <v>182000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5.63</v>
      </c>
      <c r="G494" s="18">
        <v>1.2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200000</v>
      </c>
      <c r="G495" s="18">
        <v>145600</v>
      </c>
      <c r="H495" s="18"/>
      <c r="I495" s="18"/>
      <c r="J495" s="18"/>
      <c r="K495" s="53">
        <f>SUM(F495:J495)</f>
        <v>345600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200000</v>
      </c>
      <c r="G497" s="18">
        <v>36400</v>
      </c>
      <c r="H497" s="18"/>
      <c r="I497" s="18"/>
      <c r="J497" s="18"/>
      <c r="K497" s="53">
        <f t="shared" si="35"/>
        <v>236400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0</v>
      </c>
      <c r="G498" s="204">
        <v>109200</v>
      </c>
      <c r="H498" s="204"/>
      <c r="I498" s="204"/>
      <c r="J498" s="204"/>
      <c r="K498" s="205">
        <f t="shared" si="35"/>
        <v>109200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0</v>
      </c>
      <c r="G499" s="18">
        <v>3538.08</v>
      </c>
      <c r="H499" s="18"/>
      <c r="I499" s="18"/>
      <c r="J499" s="18"/>
      <c r="K499" s="53">
        <f t="shared" si="35"/>
        <v>3538.08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112738.08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112738.08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0</v>
      </c>
      <c r="G501" s="204">
        <v>36400</v>
      </c>
      <c r="H501" s="204"/>
      <c r="I501" s="204"/>
      <c r="J501" s="204"/>
      <c r="K501" s="205">
        <f t="shared" si="35"/>
        <v>36400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0</v>
      </c>
      <c r="G502" s="18">
        <v>1809</v>
      </c>
      <c r="H502" s="18"/>
      <c r="I502" s="18"/>
      <c r="J502" s="18"/>
      <c r="K502" s="53">
        <f t="shared" si="35"/>
        <v>1809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38209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38209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24487.96</v>
      </c>
      <c r="G507" s="144">
        <v>5652.82</v>
      </c>
      <c r="H507" s="144">
        <v>4132.8900000000003</v>
      </c>
      <c r="I507" s="144">
        <v>26007.9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298066.71000000002</v>
      </c>
      <c r="G521" s="18">
        <v>178707.94</v>
      </c>
      <c r="H521" s="18">
        <v>163456.38</v>
      </c>
      <c r="I521" s="18">
        <v>10312.290000000001</v>
      </c>
      <c r="J521" s="18"/>
      <c r="K521" s="18"/>
      <c r="L521" s="88">
        <f>SUM(F521:K521)</f>
        <v>650543.32000000007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109365.87</v>
      </c>
      <c r="I523" s="18"/>
      <c r="J523" s="18"/>
      <c r="K523" s="18"/>
      <c r="L523" s="88">
        <f>SUM(F523:K523)</f>
        <v>109365.87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298066.71000000002</v>
      </c>
      <c r="G524" s="108">
        <f t="shared" ref="G524:L524" si="36">SUM(G521:G523)</f>
        <v>178707.94</v>
      </c>
      <c r="H524" s="108">
        <f t="shared" si="36"/>
        <v>272822.25</v>
      </c>
      <c r="I524" s="108">
        <f t="shared" si="36"/>
        <v>10312.290000000001</v>
      </c>
      <c r="J524" s="108">
        <f t="shared" si="36"/>
        <v>0</v>
      </c>
      <c r="K524" s="108">
        <f t="shared" si="36"/>
        <v>0</v>
      </c>
      <c r="L524" s="89">
        <f t="shared" si="36"/>
        <v>759909.19000000006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139832.20000000001</v>
      </c>
      <c r="G526" s="18">
        <v>47989</v>
      </c>
      <c r="H526" s="18">
        <v>42813.63</v>
      </c>
      <c r="I526" s="18"/>
      <c r="J526" s="18"/>
      <c r="K526" s="18"/>
      <c r="L526" s="88">
        <f>SUM(F526:K526)</f>
        <v>230634.83000000002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139832.20000000001</v>
      </c>
      <c r="G529" s="89">
        <f t="shared" ref="G529:L529" si="37">SUM(G526:G528)</f>
        <v>47989</v>
      </c>
      <c r="H529" s="89">
        <f t="shared" si="37"/>
        <v>42813.63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230634.83000000002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65920</v>
      </c>
      <c r="G531" s="18">
        <v>26865.08</v>
      </c>
      <c r="H531" s="18">
        <v>4453.8999999999996</v>
      </c>
      <c r="I531" s="18"/>
      <c r="J531" s="18"/>
      <c r="K531" s="18"/>
      <c r="L531" s="88">
        <f>SUM(F531:K531)</f>
        <v>97238.98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65920</v>
      </c>
      <c r="G534" s="89">
        <f t="shared" ref="G534:L534" si="38">SUM(G531:G533)</f>
        <v>26865.08</v>
      </c>
      <c r="H534" s="89">
        <f t="shared" si="38"/>
        <v>4453.8999999999996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97238.98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4676</v>
      </c>
      <c r="I536" s="18"/>
      <c r="J536" s="18"/>
      <c r="K536" s="18"/>
      <c r="L536" s="88">
        <f>SUM(F536:K536)</f>
        <v>4676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4676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4676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77862.399999999994</v>
      </c>
      <c r="I541" s="18"/>
      <c r="J541" s="18"/>
      <c r="K541" s="18"/>
      <c r="L541" s="88">
        <f>SUM(F541:K541)</f>
        <v>77862.399999999994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8732.4500000000007</v>
      </c>
      <c r="I543" s="18"/>
      <c r="J543" s="18"/>
      <c r="K543" s="18"/>
      <c r="L543" s="88">
        <f>SUM(F543:K543)</f>
        <v>8732.4500000000007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86594.849999999991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86594.849999999991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503818.91000000003</v>
      </c>
      <c r="G545" s="89">
        <f t="shared" ref="G545:L545" si="41">G524+G529+G534+G539+G544</f>
        <v>253562.02000000002</v>
      </c>
      <c r="H545" s="89">
        <f t="shared" si="41"/>
        <v>411360.63</v>
      </c>
      <c r="I545" s="89">
        <f t="shared" si="41"/>
        <v>10312.290000000001</v>
      </c>
      <c r="J545" s="89">
        <f t="shared" si="41"/>
        <v>0</v>
      </c>
      <c r="K545" s="89">
        <f t="shared" si="41"/>
        <v>0</v>
      </c>
      <c r="L545" s="89">
        <f t="shared" si="41"/>
        <v>1179053.8500000001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650543.32000000007</v>
      </c>
      <c r="G549" s="87">
        <f>L526</f>
        <v>230634.83000000002</v>
      </c>
      <c r="H549" s="87">
        <f>L531</f>
        <v>97238.98</v>
      </c>
      <c r="I549" s="87">
        <f>L536</f>
        <v>4676</v>
      </c>
      <c r="J549" s="87">
        <f>L541</f>
        <v>77862.399999999994</v>
      </c>
      <c r="K549" s="87">
        <f>SUM(F549:J549)</f>
        <v>1060955.53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109365.87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8732.4500000000007</v>
      </c>
      <c r="K551" s="87">
        <f>SUM(F551:J551)</f>
        <v>118098.31999999999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759909.19000000006</v>
      </c>
      <c r="G552" s="89">
        <f t="shared" si="42"/>
        <v>230634.83000000002</v>
      </c>
      <c r="H552" s="89">
        <f t="shared" si="42"/>
        <v>97238.98</v>
      </c>
      <c r="I552" s="89">
        <f t="shared" si="42"/>
        <v>4676</v>
      </c>
      <c r="J552" s="89">
        <f t="shared" si="42"/>
        <v>86594.849999999991</v>
      </c>
      <c r="K552" s="89">
        <f t="shared" si="42"/>
        <v>1179053.8500000001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2802142.21</v>
      </c>
      <c r="I575" s="87">
        <f>SUM(F575:H575)</f>
        <v>2802142.21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4022.21</v>
      </c>
      <c r="G579" s="18"/>
      <c r="H579" s="18">
        <v>38790.5</v>
      </c>
      <c r="I579" s="87">
        <f t="shared" si="47"/>
        <v>42812.71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44140.65</v>
      </c>
      <c r="G582" s="18"/>
      <c r="H582" s="18">
        <v>80</v>
      </c>
      <c r="I582" s="87">
        <f t="shared" si="47"/>
        <v>44220.65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254085.12</v>
      </c>
      <c r="I591" s="18"/>
      <c r="J591" s="18">
        <v>108893.63</v>
      </c>
      <c r="K591" s="104">
        <f t="shared" ref="K591:K597" si="48">SUM(H591:J591)</f>
        <v>362978.75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77862.399999999994</v>
      </c>
      <c r="I592" s="18"/>
      <c r="J592" s="18">
        <v>8732.4500000000007</v>
      </c>
      <c r="K592" s="104">
        <f t="shared" si="48"/>
        <v>86594.849999999991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10596.95</v>
      </c>
      <c r="I594" s="18"/>
      <c r="J594" s="18"/>
      <c r="K594" s="104">
        <f t="shared" si="48"/>
        <v>10596.95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11937.61</v>
      </c>
      <c r="I595" s="18"/>
      <c r="J595" s="18"/>
      <c r="K595" s="104">
        <f t="shared" si="48"/>
        <v>11937.61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354482.08</v>
      </c>
      <c r="I598" s="108">
        <f>SUM(I591:I597)</f>
        <v>0</v>
      </c>
      <c r="J598" s="108">
        <f>SUM(J591:J597)</f>
        <v>117626.08</v>
      </c>
      <c r="K598" s="108">
        <f>SUM(K591:K597)</f>
        <v>472108.16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56744.67</v>
      </c>
      <c r="I604" s="18"/>
      <c r="J604" s="18"/>
      <c r="K604" s="104">
        <f>SUM(H604:J604)</f>
        <v>56744.67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56744.67</v>
      </c>
      <c r="I605" s="108">
        <f>SUM(I602:I604)</f>
        <v>0</v>
      </c>
      <c r="J605" s="108">
        <f>SUM(J602:J604)</f>
        <v>0</v>
      </c>
      <c r="K605" s="108">
        <f>SUM(K602:K604)</f>
        <v>56744.67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2249771.39</v>
      </c>
      <c r="H617" s="109">
        <f>SUM(F52)</f>
        <v>2249771.3900000006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13018.510000000002</v>
      </c>
      <c r="H618" s="109">
        <f>SUM(G52)</f>
        <v>13018.51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80435.710000000006</v>
      </c>
      <c r="H619" s="109">
        <f>SUM(H52)</f>
        <v>80435.710000000006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653750.88</v>
      </c>
      <c r="H621" s="109">
        <f>SUM(J52)</f>
        <v>653750.88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891501.53</v>
      </c>
      <c r="H622" s="109">
        <f>F476</f>
        <v>891501.52999999933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9788.52</v>
      </c>
      <c r="H623" s="109">
        <f>G476</f>
        <v>9788.5199999999895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3319.3</v>
      </c>
      <c r="H624" s="109">
        <f>H476</f>
        <v>3319.2999999999302</v>
      </c>
      <c r="I624" s="121" t="s">
        <v>103</v>
      </c>
      <c r="J624" s="109">
        <f t="shared" si="50"/>
        <v>7.0031092036515474E-11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653750.88</v>
      </c>
      <c r="H626" s="109">
        <f>J476</f>
        <v>653750.88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9754281.7400000002</v>
      </c>
      <c r="H627" s="104">
        <f>SUM(F468)</f>
        <v>9754281.7400000002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149294.68</v>
      </c>
      <c r="H628" s="104">
        <f>SUM(G468)</f>
        <v>149294.68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194709.47999999998</v>
      </c>
      <c r="H629" s="104">
        <f>SUM(H468)</f>
        <v>194709.47999999998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22807</v>
      </c>
      <c r="H630" s="104">
        <f>SUM(I468)</f>
        <v>22807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91180.290000000008</v>
      </c>
      <c r="H631" s="104">
        <f>SUM(J468)</f>
        <v>91180.290000000008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9561647.540000001</v>
      </c>
      <c r="H632" s="104">
        <f>SUM(F472)</f>
        <v>9561647.540000001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191390.18000000005</v>
      </c>
      <c r="H633" s="104">
        <f>SUM(H472)</f>
        <v>191390.18000000005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65275.53</v>
      </c>
      <c r="H634" s="104">
        <f>I369</f>
        <v>65275.53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139506.16</v>
      </c>
      <c r="H635" s="104">
        <f>SUM(G472)</f>
        <v>139506.16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91180.290000000008</v>
      </c>
      <c r="H637" s="164">
        <f>SUM(J468)</f>
        <v>91180.290000000008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134220.24</v>
      </c>
      <c r="H639" s="104">
        <f>SUM(F461)</f>
        <v>134220.24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506690.52</v>
      </c>
      <c r="H640" s="104">
        <f>SUM(G461)</f>
        <v>506690.52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12840.12</v>
      </c>
      <c r="H641" s="104">
        <f>SUM(H461)</f>
        <v>12840.12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653750.88</v>
      </c>
      <c r="H642" s="104">
        <f>SUM(I461)</f>
        <v>653750.88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13223.29</v>
      </c>
      <c r="H644" s="104">
        <f>H408</f>
        <v>13223.29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77957</v>
      </c>
      <c r="H645" s="104">
        <f>G408</f>
        <v>77957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91180.290000000008</v>
      </c>
      <c r="H646" s="104">
        <f>L408</f>
        <v>91180.290000000008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472108.16</v>
      </c>
      <c r="H647" s="104">
        <f>L208+L226+L244</f>
        <v>472108.16000000003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56744.67</v>
      </c>
      <c r="H648" s="104">
        <f>(J257+J338)-(J255+J336)</f>
        <v>56744.67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354482.08</v>
      </c>
      <c r="H649" s="104">
        <f>H598</f>
        <v>354482.08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117626.08</v>
      </c>
      <c r="H651" s="104">
        <f>J598</f>
        <v>117626.08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41193</v>
      </c>
      <c r="H652" s="104">
        <f>K263+K345</f>
        <v>41193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22807</v>
      </c>
      <c r="H654" s="104">
        <f>K265+K346</f>
        <v>22807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77957</v>
      </c>
      <c r="H655" s="104">
        <f>K266+K347</f>
        <v>77957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6358395.0100000016</v>
      </c>
      <c r="G660" s="19">
        <f>(L229+L309+L359)</f>
        <v>0</v>
      </c>
      <c r="H660" s="19">
        <f>(L247+L328+L360)</f>
        <v>3146102.56</v>
      </c>
      <c r="I660" s="19">
        <f>SUM(F660:H660)</f>
        <v>9504497.5700000022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54973.8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54973.8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361342</v>
      </c>
      <c r="G662" s="19">
        <f>(L226+L306)-(J226+J306)</f>
        <v>0</v>
      </c>
      <c r="H662" s="19">
        <f>(L244+L325)-(J244+J325)</f>
        <v>117626.08</v>
      </c>
      <c r="I662" s="19">
        <f>SUM(F662:H662)</f>
        <v>478968.08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104907.53</v>
      </c>
      <c r="G663" s="199">
        <f>SUM(G575:G587)+SUM(I602:I604)+L612</f>
        <v>0</v>
      </c>
      <c r="H663" s="199">
        <f>SUM(H575:H587)+SUM(J602:J604)+L613</f>
        <v>2841012.71</v>
      </c>
      <c r="I663" s="19">
        <f>SUM(F663:H663)</f>
        <v>2945920.2399999998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5837171.6800000016</v>
      </c>
      <c r="G664" s="19">
        <f>G660-SUM(G661:G663)</f>
        <v>0</v>
      </c>
      <c r="H664" s="19">
        <f>H660-SUM(H661:H663)</f>
        <v>187463.77000000002</v>
      </c>
      <c r="I664" s="19">
        <f>I660-SUM(I661:I663)</f>
        <v>6024635.450000003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391.98</v>
      </c>
      <c r="G665" s="248"/>
      <c r="H665" s="248"/>
      <c r="I665" s="19">
        <f>SUM(F665:H665)</f>
        <v>391.98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14891.5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15369.75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-187463.77</v>
      </c>
      <c r="I669" s="19">
        <f>SUM(F669:H669)</f>
        <v>-187463.77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14891.5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14891.5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1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Gilmanton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2027662.3</v>
      </c>
      <c r="C9" s="229">
        <f>'DOE25'!G197+'DOE25'!G215+'DOE25'!G233+'DOE25'!G276+'DOE25'!G295+'DOE25'!G314</f>
        <v>952373.82</v>
      </c>
    </row>
    <row r="10" spans="1:3" x14ac:dyDescent="0.2">
      <c r="A10" t="s">
        <v>778</v>
      </c>
      <c r="B10" s="240">
        <f>1503546.98+46209.14</f>
        <v>1549756.1199999999</v>
      </c>
      <c r="C10" s="240">
        <v>768180.95</v>
      </c>
    </row>
    <row r="11" spans="1:3" x14ac:dyDescent="0.2">
      <c r="A11" t="s">
        <v>779</v>
      </c>
      <c r="B11" s="240">
        <f>333639.49+19900+74858.08+1339.08</f>
        <v>429736.65</v>
      </c>
      <c r="C11" s="240">
        <v>175825.76</v>
      </c>
    </row>
    <row r="12" spans="1:3" x14ac:dyDescent="0.2">
      <c r="A12" t="s">
        <v>780</v>
      </c>
      <c r="B12" s="240">
        <f>46319.53+1850</f>
        <v>48169.53</v>
      </c>
      <c r="C12" s="240">
        <v>8367.11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2027662.3</v>
      </c>
      <c r="C13" s="231">
        <f>SUM(C10:C12)</f>
        <v>952373.82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298066.71000000002</v>
      </c>
      <c r="C18" s="229">
        <f>'DOE25'!G198+'DOE25'!G216+'DOE25'!G234+'DOE25'!G277+'DOE25'!G296+'DOE25'!G315</f>
        <v>178707.94</v>
      </c>
    </row>
    <row r="19" spans="1:3" x14ac:dyDescent="0.2">
      <c r="A19" t="s">
        <v>778</v>
      </c>
      <c r="B19" s="240">
        <v>156735.94</v>
      </c>
      <c r="C19" s="240">
        <f>82773.23+6750.09</f>
        <v>89523.319999999992</v>
      </c>
    </row>
    <row r="20" spans="1:3" x14ac:dyDescent="0.2">
      <c r="A20" t="s">
        <v>779</v>
      </c>
      <c r="B20" s="240">
        <f>90976.53+20722.24+29632</f>
        <v>141330.77000000002</v>
      </c>
      <c r="C20" s="240">
        <v>89184.62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298066.71000000002</v>
      </c>
      <c r="C22" s="231">
        <f>SUM(C19:C21)</f>
        <v>178707.94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37950</v>
      </c>
      <c r="C36" s="235">
        <f>'DOE25'!G200+'DOE25'!G218+'DOE25'!G236+'DOE25'!G279+'DOE25'!G298+'DOE25'!G317</f>
        <v>2903.22</v>
      </c>
    </row>
    <row r="37" spans="1:3" x14ac:dyDescent="0.2">
      <c r="A37" t="s">
        <v>778</v>
      </c>
      <c r="B37" s="240">
        <v>3000</v>
      </c>
      <c r="C37" s="240">
        <v>1100</v>
      </c>
    </row>
    <row r="38" spans="1:3" x14ac:dyDescent="0.2">
      <c r="A38" t="s">
        <v>779</v>
      </c>
      <c r="B38" s="240">
        <v>34950</v>
      </c>
      <c r="C38" s="240">
        <v>1803.22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37950</v>
      </c>
      <c r="C40" s="231">
        <f>SUM(C37:C39)</f>
        <v>2903.2200000000003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Gilmanton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6659739.6800000006</v>
      </c>
      <c r="D5" s="20">
        <f>SUM('DOE25'!L197:L200)+SUM('DOE25'!L215:L218)+SUM('DOE25'!L233:L236)-F5-G5</f>
        <v>6643280.8900000006</v>
      </c>
      <c r="E5" s="243"/>
      <c r="F5" s="255">
        <f>SUM('DOE25'!J197:J200)+SUM('DOE25'!J215:J218)+SUM('DOE25'!J233:J236)</f>
        <v>2512.6999999999998</v>
      </c>
      <c r="G5" s="53">
        <f>SUM('DOE25'!K197:K200)+SUM('DOE25'!K215:K218)+SUM('DOE25'!K233:K236)</f>
        <v>13946.09</v>
      </c>
      <c r="H5" s="259"/>
    </row>
    <row r="6" spans="1:9" x14ac:dyDescent="0.2">
      <c r="A6" s="32">
        <v>2100</v>
      </c>
      <c r="B6" t="s">
        <v>800</v>
      </c>
      <c r="C6" s="245">
        <f t="shared" si="0"/>
        <v>501258.29000000004</v>
      </c>
      <c r="D6" s="20">
        <f>'DOE25'!L202+'DOE25'!L220+'DOE25'!L238-F6-G6</f>
        <v>500098.31000000006</v>
      </c>
      <c r="E6" s="243"/>
      <c r="F6" s="255">
        <f>'DOE25'!J202+'DOE25'!J220+'DOE25'!J238</f>
        <v>0</v>
      </c>
      <c r="G6" s="53">
        <f>'DOE25'!K202+'DOE25'!K220+'DOE25'!K238</f>
        <v>1159.98</v>
      </c>
      <c r="H6" s="259"/>
    </row>
    <row r="7" spans="1:9" x14ac:dyDescent="0.2">
      <c r="A7" s="32">
        <v>2200</v>
      </c>
      <c r="B7" t="s">
        <v>833</v>
      </c>
      <c r="C7" s="245">
        <f t="shared" si="0"/>
        <v>277539.35000000003</v>
      </c>
      <c r="D7" s="20">
        <f>'DOE25'!L203+'DOE25'!L221+'DOE25'!L239-F7-G7</f>
        <v>231657.92000000004</v>
      </c>
      <c r="E7" s="243"/>
      <c r="F7" s="255">
        <f>'DOE25'!J203+'DOE25'!J221+'DOE25'!J239</f>
        <v>45881.43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121773.90000000004</v>
      </c>
      <c r="D8" s="243"/>
      <c r="E8" s="20">
        <f>'DOE25'!L204+'DOE25'!L222+'DOE25'!L240-F8-G8-D9-D11</f>
        <v>107023.73000000004</v>
      </c>
      <c r="F8" s="255">
        <f>'DOE25'!J204+'DOE25'!J222+'DOE25'!J240</f>
        <v>3405</v>
      </c>
      <c r="G8" s="53">
        <f>'DOE25'!K204+'DOE25'!K222+'DOE25'!K240</f>
        <v>11345.17</v>
      </c>
      <c r="H8" s="259"/>
    </row>
    <row r="9" spans="1:9" x14ac:dyDescent="0.2">
      <c r="A9" s="32">
        <v>2310</v>
      </c>
      <c r="B9" t="s">
        <v>817</v>
      </c>
      <c r="C9" s="245">
        <f t="shared" si="0"/>
        <v>49318.35</v>
      </c>
      <c r="D9" s="244">
        <v>49318.35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12600</v>
      </c>
      <c r="D10" s="243"/>
      <c r="E10" s="244">
        <v>12600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142359.65</v>
      </c>
      <c r="D11" s="244">
        <v>142359.65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349904.8</v>
      </c>
      <c r="D12" s="20">
        <f>'DOE25'!L205+'DOE25'!L223+'DOE25'!L241-F12-G12</f>
        <v>347651.26</v>
      </c>
      <c r="E12" s="243"/>
      <c r="F12" s="255">
        <f>'DOE25'!J205+'DOE25'!J223+'DOE25'!J241</f>
        <v>0</v>
      </c>
      <c r="G12" s="53">
        <f>'DOE25'!K205+'DOE25'!K223+'DOE25'!K241</f>
        <v>2253.54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133569.66999999998</v>
      </c>
      <c r="D13" s="243"/>
      <c r="E13" s="20">
        <f>'DOE25'!L206+'DOE25'!L224+'DOE25'!L242-F13-G13</f>
        <v>126830.06999999999</v>
      </c>
      <c r="F13" s="255">
        <f>'DOE25'!J206+'DOE25'!J224+'DOE25'!J242</f>
        <v>4945.54</v>
      </c>
      <c r="G13" s="53">
        <f>'DOE25'!K206+'DOE25'!K224+'DOE25'!K242</f>
        <v>1794.06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467632.58</v>
      </c>
      <c r="D14" s="20">
        <f>'DOE25'!L207+'DOE25'!L225+'DOE25'!L243-F14-G14</f>
        <v>467632.58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472108.16000000003</v>
      </c>
      <c r="D15" s="20">
        <f>'DOE25'!L208+'DOE25'!L226+'DOE25'!L244-F15-G15</f>
        <v>472108.16000000003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244486.11</v>
      </c>
      <c r="D25" s="243"/>
      <c r="E25" s="243"/>
      <c r="F25" s="258"/>
      <c r="G25" s="256"/>
      <c r="H25" s="257">
        <f>'DOE25'!L260+'DOE25'!L261+'DOE25'!L341+'DOE25'!L342</f>
        <v>244486.11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78867.94</v>
      </c>
      <c r="D29" s="20">
        <f>'DOE25'!L358+'DOE25'!L359+'DOE25'!L360-'DOE25'!I367-F29-G29</f>
        <v>78193</v>
      </c>
      <c r="E29" s="243"/>
      <c r="F29" s="255">
        <f>'DOE25'!J358+'DOE25'!J359+'DOE25'!J360</f>
        <v>674.94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191390.18000000005</v>
      </c>
      <c r="D31" s="20">
        <f>'DOE25'!L290+'DOE25'!L309+'DOE25'!L328+'DOE25'!L333+'DOE25'!L334+'DOE25'!L335-F31-G31</f>
        <v>191390.18000000005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9123690.3000000007</v>
      </c>
      <c r="E33" s="246">
        <f>SUM(E5:E31)</f>
        <v>246453.80000000005</v>
      </c>
      <c r="F33" s="246">
        <f>SUM(F5:F31)</f>
        <v>57419.61</v>
      </c>
      <c r="G33" s="246">
        <f>SUM(G5:G31)</f>
        <v>30498.84</v>
      </c>
      <c r="H33" s="246">
        <f>SUM(H5:H31)</f>
        <v>244486.11</v>
      </c>
    </row>
    <row r="35" spans="2:8" ht="12" thickBot="1" x14ac:dyDescent="0.25">
      <c r="B35" s="253" t="s">
        <v>846</v>
      </c>
      <c r="D35" s="254">
        <f>E33</f>
        <v>246453.80000000005</v>
      </c>
      <c r="E35" s="249"/>
    </row>
    <row r="36" spans="2:8" ht="12" thickTop="1" x14ac:dyDescent="0.2">
      <c r="B36" t="s">
        <v>814</v>
      </c>
      <c r="D36" s="20">
        <f>D33</f>
        <v>9123690.3000000007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Gilmanton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2112062.9</v>
      </c>
      <c r="D8" s="95">
        <f>'DOE25'!G9</f>
        <v>75</v>
      </c>
      <c r="E8" s="95">
        <f>'DOE25'!H9</f>
        <v>0</v>
      </c>
      <c r="F8" s="95">
        <f>'DOE25'!I9</f>
        <v>0</v>
      </c>
      <c r="G8" s="95">
        <f>'DOE25'!J9</f>
        <v>653750.88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77115.97</v>
      </c>
      <c r="D11" s="95">
        <f>'DOE25'!G12</f>
        <v>9418.5300000000007</v>
      </c>
      <c r="E11" s="95">
        <f>'DOE25'!H12</f>
        <v>3319.3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2490.2800000000002</v>
      </c>
      <c r="E12" s="95">
        <f>'DOE25'!H13</f>
        <v>77116.41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9035.4699999999993</v>
      </c>
      <c r="D13" s="95">
        <f>'DOE25'!G14</f>
        <v>1034.7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51557.05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2249771.39</v>
      </c>
      <c r="D18" s="41">
        <f>SUM(D8:D17)</f>
        <v>13018.510000000002</v>
      </c>
      <c r="E18" s="41">
        <f>SUM(E8:E17)</f>
        <v>80435.710000000006</v>
      </c>
      <c r="F18" s="41">
        <f>SUM(F8:F17)</f>
        <v>0</v>
      </c>
      <c r="G18" s="41">
        <f>SUM(G8:G17)</f>
        <v>653750.88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12737.83</v>
      </c>
      <c r="D21" s="95">
        <f>'DOE25'!G22</f>
        <v>0</v>
      </c>
      <c r="E21" s="95">
        <f>'DOE25'!H22</f>
        <v>77116.41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1290487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51399.86</v>
      </c>
      <c r="D23" s="95">
        <f>'DOE25'!G24</f>
        <v>465.97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703.34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2941.83</v>
      </c>
      <c r="D29" s="95">
        <f>'DOE25'!G30</f>
        <v>2764.02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1358269.8600000003</v>
      </c>
      <c r="D31" s="41">
        <f>SUM(D21:D30)</f>
        <v>3229.99</v>
      </c>
      <c r="E31" s="41">
        <f>SUM(E21:E30)</f>
        <v>77116.41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51557.05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9788.52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3319.3</v>
      </c>
      <c r="F47" s="95">
        <f>'DOE25'!I48</f>
        <v>0</v>
      </c>
      <c r="G47" s="95">
        <f>'DOE25'!J48</f>
        <v>653750.88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158982.5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680961.98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891501.53</v>
      </c>
      <c r="D50" s="41">
        <f>SUM(D34:D49)</f>
        <v>9788.52</v>
      </c>
      <c r="E50" s="41">
        <f>SUM(E34:E49)</f>
        <v>3319.3</v>
      </c>
      <c r="F50" s="41">
        <f>SUM(F34:F49)</f>
        <v>0</v>
      </c>
      <c r="G50" s="41">
        <f>SUM(G34:G49)</f>
        <v>653750.88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2249771.3900000006</v>
      </c>
      <c r="D51" s="41">
        <f>D50+D31</f>
        <v>13018.51</v>
      </c>
      <c r="E51" s="41">
        <f>E50+E31</f>
        <v>80435.710000000006</v>
      </c>
      <c r="F51" s="41">
        <f>F50+F31</f>
        <v>0</v>
      </c>
      <c r="G51" s="41">
        <f>G50+G31</f>
        <v>653750.88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7302421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8259.69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4569.76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13223.29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54295.16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839.56</v>
      </c>
      <c r="D61" s="95">
        <f>SUM('DOE25'!G98:G110)</f>
        <v>678.64</v>
      </c>
      <c r="E61" s="95">
        <f>SUM('DOE25'!H98:H110)</f>
        <v>4922.5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13669.01</v>
      </c>
      <c r="D62" s="130">
        <f>SUM(D57:D61)</f>
        <v>54973.8</v>
      </c>
      <c r="E62" s="130">
        <f>SUM(E57:E61)</f>
        <v>4922.5</v>
      </c>
      <c r="F62" s="130">
        <f>SUM(F57:F61)</f>
        <v>0</v>
      </c>
      <c r="G62" s="130">
        <f>SUM(G57:G61)</f>
        <v>13223.29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7316090.0099999998</v>
      </c>
      <c r="D63" s="22">
        <f>D56+D62</f>
        <v>54973.8</v>
      </c>
      <c r="E63" s="22">
        <f>E56+E62</f>
        <v>4922.5</v>
      </c>
      <c r="F63" s="22">
        <f>F56+F62</f>
        <v>0</v>
      </c>
      <c r="G63" s="22">
        <f>G56+G62</f>
        <v>13223.29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1115473.1399999999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1028548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104361.72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2248382.86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65158.25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62142.27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1775.26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127300.51999999999</v>
      </c>
      <c r="D78" s="130">
        <f>SUM(D72:D77)</f>
        <v>1775.26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2375683.38</v>
      </c>
      <c r="D81" s="130">
        <f>SUM(D79:D80)+D78+D70</f>
        <v>1775.26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12502.31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8199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62508.35</v>
      </c>
      <c r="D88" s="95">
        <f>SUM('DOE25'!G153:G161)</f>
        <v>38850.31</v>
      </c>
      <c r="E88" s="95">
        <f>SUM('DOE25'!H153:H161)</f>
        <v>181587.97999999998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62508.35</v>
      </c>
      <c r="D91" s="131">
        <f>SUM(D85:D90)</f>
        <v>51352.619999999995</v>
      </c>
      <c r="E91" s="131">
        <f>SUM(E85:E90)</f>
        <v>189786.97999999998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41193</v>
      </c>
      <c r="E96" s="95">
        <f>'DOE25'!H179</f>
        <v>0</v>
      </c>
      <c r="F96" s="95">
        <f>'DOE25'!I179</f>
        <v>22807</v>
      </c>
      <c r="G96" s="95">
        <f>'DOE25'!J179</f>
        <v>77957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41193</v>
      </c>
      <c r="E103" s="86">
        <f>SUM(E93:E102)</f>
        <v>0</v>
      </c>
      <c r="F103" s="86">
        <f>SUM(F93:F102)</f>
        <v>22807</v>
      </c>
      <c r="G103" s="86">
        <f>SUM(G93:G102)</f>
        <v>77957</v>
      </c>
    </row>
    <row r="104" spans="1:7" ht="12.75" thickTop="1" thickBot="1" x14ac:dyDescent="0.25">
      <c r="A104" s="33" t="s">
        <v>764</v>
      </c>
      <c r="C104" s="86">
        <f>C63+C81+C91+C103</f>
        <v>9754281.7400000002</v>
      </c>
      <c r="D104" s="86">
        <f>D63+D81+D91+D103</f>
        <v>149294.68</v>
      </c>
      <c r="E104" s="86">
        <f>E63+E81+E91+E103</f>
        <v>194709.47999999998</v>
      </c>
      <c r="F104" s="86">
        <f>F63+F81+F91+F103</f>
        <v>22807</v>
      </c>
      <c r="G104" s="86">
        <f>G63+G81+G103</f>
        <v>91180.290000000008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5905080.6500000004</v>
      </c>
      <c r="D109" s="24" t="s">
        <v>288</v>
      </c>
      <c r="E109" s="95">
        <f>('DOE25'!L276)+('DOE25'!L295)+('DOE25'!L314)</f>
        <v>69494.95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687754.57</v>
      </c>
      <c r="D110" s="24" t="s">
        <v>288</v>
      </c>
      <c r="E110" s="95">
        <f>('DOE25'!L277)+('DOE25'!L296)+('DOE25'!L315)</f>
        <v>72154.62000000001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66904.460000000006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1603.2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6659739.6800000006</v>
      </c>
      <c r="D115" s="86">
        <f>SUM(D109:D114)</f>
        <v>0</v>
      </c>
      <c r="E115" s="86">
        <f>SUM(E109:E114)</f>
        <v>143252.77000000002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501258.29000000004</v>
      </c>
      <c r="D118" s="24" t="s">
        <v>288</v>
      </c>
      <c r="E118" s="95">
        <f>+('DOE25'!L281)+('DOE25'!L300)+('DOE25'!L319)</f>
        <v>17301.95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277539.35000000003</v>
      </c>
      <c r="D119" s="24" t="s">
        <v>288</v>
      </c>
      <c r="E119" s="95">
        <f>+('DOE25'!L282)+('DOE25'!L301)+('DOE25'!L320)</f>
        <v>14448.34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313451.90000000002</v>
      </c>
      <c r="D120" s="24" t="s">
        <v>288</v>
      </c>
      <c r="E120" s="95">
        <f>+('DOE25'!L283)+('DOE25'!L302)+('DOE25'!L321)</f>
        <v>8027.2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349904.8</v>
      </c>
      <c r="D121" s="24" t="s">
        <v>288</v>
      </c>
      <c r="E121" s="95">
        <f>+('DOE25'!L284)+('DOE25'!L303)+('DOE25'!L322)</f>
        <v>1500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133569.66999999998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467632.58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472108.16000000003</v>
      </c>
      <c r="D124" s="24" t="s">
        <v>288</v>
      </c>
      <c r="E124" s="95">
        <f>+('DOE25'!L287)+('DOE25'!L306)+('DOE25'!L325)</f>
        <v>6859.92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139506.16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2515464.75</v>
      </c>
      <c r="D128" s="86">
        <f>SUM(D118:D127)</f>
        <v>139506.16</v>
      </c>
      <c r="E128" s="86">
        <f>SUM(E118:E127)</f>
        <v>48137.409999999996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236400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8086.11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41193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22807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39042.04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52138.25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-13223.290000000008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386443.11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9561647.5399999991</v>
      </c>
      <c r="D145" s="86">
        <f>(D115+D128+D144)</f>
        <v>139506.16</v>
      </c>
      <c r="E145" s="86">
        <f>(E115+E128+E144)</f>
        <v>191390.18000000002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08/96</v>
      </c>
      <c r="C152" s="152" t="str">
        <f>'DOE25'!G491</f>
        <v>05/15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02/17</v>
      </c>
      <c r="C153" s="152" t="str">
        <f>'DOE25'!G492</f>
        <v>07/19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2460000</v>
      </c>
      <c r="C154" s="137">
        <f>'DOE25'!G493</f>
        <v>182000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5.63</v>
      </c>
      <c r="C155" s="137">
        <f>'DOE25'!G494</f>
        <v>1.2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200000</v>
      </c>
      <c r="C156" s="137">
        <f>'DOE25'!G495</f>
        <v>145600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345600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200000</v>
      </c>
      <c r="C158" s="137">
        <f>'DOE25'!G497</f>
        <v>36400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236400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109200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109200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3538.08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3538.08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112738.08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112738.08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36400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36400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1809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1809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38209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38209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2" workbookViewId="0">
      <selection activeCell="B5" sqref="B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Gilmanton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14892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14892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5974576</v>
      </c>
      <c r="D10" s="182">
        <f>ROUND((C10/$C$28)*100,1)</f>
        <v>63.2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759909</v>
      </c>
      <c r="D11" s="182">
        <f>ROUND((C11/$C$28)*100,1)</f>
        <v>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66904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518560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291988</v>
      </c>
      <c r="D16" s="182">
        <f t="shared" si="0"/>
        <v>3.1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321479</v>
      </c>
      <c r="D17" s="182">
        <f t="shared" si="0"/>
        <v>3.4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351405</v>
      </c>
      <c r="D18" s="182">
        <f t="shared" si="0"/>
        <v>3.7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133570</v>
      </c>
      <c r="D19" s="182">
        <f t="shared" si="0"/>
        <v>1.4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467633</v>
      </c>
      <c r="D20" s="182">
        <f t="shared" si="0"/>
        <v>4.9000000000000004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478968</v>
      </c>
      <c r="D21" s="182">
        <f t="shared" si="0"/>
        <v>5.0999999999999996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1603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8086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84532.2</v>
      </c>
      <c r="D27" s="182">
        <f t="shared" si="0"/>
        <v>0.9</v>
      </c>
    </row>
    <row r="28" spans="1:4" x14ac:dyDescent="0.2">
      <c r="B28" s="187" t="s">
        <v>722</v>
      </c>
      <c r="C28" s="180">
        <f>SUM(C10:C27)</f>
        <v>9459213.1999999993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9459213.1999999993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236400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7302421</v>
      </c>
      <c r="D35" s="182">
        <f t="shared" ref="D35:D40" si="1">ROUND((C35/$C$41)*100,1)</f>
        <v>72.900000000000006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31814.800000000745</v>
      </c>
      <c r="D36" s="182">
        <f t="shared" si="1"/>
        <v>0.3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2144021</v>
      </c>
      <c r="D37" s="182">
        <f t="shared" si="1"/>
        <v>21.4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233438</v>
      </c>
      <c r="D38" s="182">
        <f t="shared" si="1"/>
        <v>2.2999999999999998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303648</v>
      </c>
      <c r="D39" s="182">
        <f t="shared" si="1"/>
        <v>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10015342.800000001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Gilmanton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2017-08-29T12:19:33Z</cp:lastPrinted>
  <dcterms:created xsi:type="dcterms:W3CDTF">1997-12-04T19:04:30Z</dcterms:created>
  <dcterms:modified xsi:type="dcterms:W3CDTF">2017-11-29T17:24:03Z</dcterms:modified>
</cp:coreProperties>
</file>