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5200" windowHeight="116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29" i="1" l="1"/>
  <c r="I507" i="1" l="1"/>
  <c r="F13" i="1" l="1"/>
  <c r="I208" i="1" l="1"/>
  <c r="G208" i="1"/>
  <c r="F208" i="1"/>
  <c r="H203" i="1"/>
  <c r="G203" i="1"/>
  <c r="F203" i="1"/>
  <c r="H202" i="1"/>
  <c r="G202" i="1"/>
  <c r="F202" i="1"/>
  <c r="H200" i="1"/>
  <c r="I198" i="1"/>
  <c r="H19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C19" i="10" s="1"/>
  <c r="L224" i="1"/>
  <c r="L242" i="1"/>
  <c r="F16" i="13"/>
  <c r="G16" i="13"/>
  <c r="E16" i="13" s="1"/>
  <c r="L209" i="1"/>
  <c r="L227" i="1"/>
  <c r="L245" i="1"/>
  <c r="F5" i="13"/>
  <c r="G5" i="13"/>
  <c r="L197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L223" i="1"/>
  <c r="L241" i="1"/>
  <c r="C121" i="2" s="1"/>
  <c r="F14" i="13"/>
  <c r="G14" i="13"/>
  <c r="L207" i="1"/>
  <c r="L225" i="1"/>
  <c r="L243" i="1"/>
  <c r="C20" i="10" s="1"/>
  <c r="F15" i="13"/>
  <c r="G15" i="13"/>
  <c r="L208" i="1"/>
  <c r="L226" i="1"/>
  <c r="G650" i="1" s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D127" i="2" s="1"/>
  <c r="D128" i="2" s="1"/>
  <c r="L360" i="1"/>
  <c r="H661" i="1" s="1"/>
  <c r="I367" i="1"/>
  <c r="I369" i="1" s="1"/>
  <c r="H634" i="1" s="1"/>
  <c r="J290" i="1"/>
  <c r="J309" i="1"/>
  <c r="J328" i="1"/>
  <c r="K309" i="1"/>
  <c r="K328" i="1"/>
  <c r="L277" i="1"/>
  <c r="L278" i="1"/>
  <c r="L279" i="1"/>
  <c r="L281" i="1"/>
  <c r="L282" i="1"/>
  <c r="L283" i="1"/>
  <c r="L284" i="1"/>
  <c r="E121" i="2" s="1"/>
  <c r="L285" i="1"/>
  <c r="E122" i="2" s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C143" i="2" s="1"/>
  <c r="L349" i="1"/>
  <c r="L350" i="1"/>
  <c r="E143" i="2" s="1"/>
  <c r="I665" i="1"/>
  <c r="I670" i="1"/>
  <c r="G661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C78" i="2" s="1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1" i="2"/>
  <c r="C113" i="2"/>
  <c r="E113" i="2"/>
  <c r="C114" i="2"/>
  <c r="D115" i="2"/>
  <c r="F115" i="2"/>
  <c r="G115" i="2"/>
  <c r="E119" i="2"/>
  <c r="E120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G620" i="1" s="1"/>
  <c r="F32" i="1"/>
  <c r="F52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F408" i="1"/>
  <c r="G408" i="1"/>
  <c r="H645" i="1" s="1"/>
  <c r="J645" i="1" s="1"/>
  <c r="H408" i="1"/>
  <c r="H644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H461" i="1" s="1"/>
  <c r="H641" i="1" s="1"/>
  <c r="F461" i="1"/>
  <c r="H639" i="1" s="1"/>
  <c r="F470" i="1"/>
  <c r="G470" i="1"/>
  <c r="H470" i="1"/>
  <c r="H476" i="1" s="1"/>
  <c r="H624" i="1" s="1"/>
  <c r="J624" i="1" s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F571" i="1" s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9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J641" i="1" s="1"/>
  <c r="G643" i="1"/>
  <c r="J643" i="1" s="1"/>
  <c r="H643" i="1"/>
  <c r="G644" i="1"/>
  <c r="G645" i="1"/>
  <c r="G651" i="1"/>
  <c r="G652" i="1"/>
  <c r="H652" i="1"/>
  <c r="G653" i="1"/>
  <c r="H653" i="1"/>
  <c r="G654" i="1"/>
  <c r="H654" i="1"/>
  <c r="H655" i="1"/>
  <c r="F192" i="1"/>
  <c r="I257" i="1"/>
  <c r="L328" i="1"/>
  <c r="A31" i="12"/>
  <c r="D62" i="2"/>
  <c r="D63" i="2" s="1"/>
  <c r="D18" i="2"/>
  <c r="D50" i="2"/>
  <c r="G161" i="2"/>
  <c r="G62" i="2"/>
  <c r="D19" i="13"/>
  <c r="C19" i="13" s="1"/>
  <c r="E78" i="2"/>
  <c r="H112" i="1"/>
  <c r="L419" i="1"/>
  <c r="I169" i="1"/>
  <c r="G552" i="1"/>
  <c r="F476" i="1"/>
  <c r="H622" i="1" s="1"/>
  <c r="J140" i="1"/>
  <c r="H257" i="1"/>
  <c r="H271" i="1" s="1"/>
  <c r="G22" i="2"/>
  <c r="H140" i="1"/>
  <c r="F22" i="13"/>
  <c r="C22" i="13" s="1"/>
  <c r="H192" i="1"/>
  <c r="L570" i="1"/>
  <c r="G36" i="2"/>
  <c r="J622" i="1" l="1"/>
  <c r="J651" i="1"/>
  <c r="K598" i="1"/>
  <c r="G647" i="1" s="1"/>
  <c r="L565" i="1"/>
  <c r="H552" i="1"/>
  <c r="L534" i="1"/>
  <c r="K550" i="1"/>
  <c r="I545" i="1"/>
  <c r="H545" i="1"/>
  <c r="F552" i="1"/>
  <c r="G545" i="1"/>
  <c r="K549" i="1"/>
  <c r="J476" i="1"/>
  <c r="H626" i="1" s="1"/>
  <c r="G476" i="1"/>
  <c r="H623" i="1" s="1"/>
  <c r="J623" i="1" s="1"/>
  <c r="J640" i="1"/>
  <c r="I460" i="1"/>
  <c r="I461" i="1" s="1"/>
  <c r="H642" i="1" s="1"/>
  <c r="I446" i="1"/>
  <c r="G642" i="1" s="1"/>
  <c r="J639" i="1"/>
  <c r="L427" i="1"/>
  <c r="J655" i="1"/>
  <c r="J644" i="1"/>
  <c r="J634" i="1"/>
  <c r="D29" i="13"/>
  <c r="C29" i="13" s="1"/>
  <c r="C26" i="10"/>
  <c r="H338" i="1"/>
  <c r="H352" i="1" s="1"/>
  <c r="E118" i="2"/>
  <c r="E112" i="2"/>
  <c r="G338" i="1"/>
  <c r="G352" i="1" s="1"/>
  <c r="F338" i="1"/>
  <c r="F352" i="1" s="1"/>
  <c r="E110" i="2"/>
  <c r="L309" i="1"/>
  <c r="C16" i="10"/>
  <c r="L270" i="1"/>
  <c r="C123" i="2"/>
  <c r="G257" i="1"/>
  <c r="G271" i="1" s="1"/>
  <c r="C12" i="10"/>
  <c r="L247" i="1"/>
  <c r="C21" i="10"/>
  <c r="C118" i="2"/>
  <c r="J257" i="1"/>
  <c r="J271" i="1" s="1"/>
  <c r="L229" i="1"/>
  <c r="D14" i="13"/>
  <c r="C14" i="13" s="1"/>
  <c r="D12" i="13"/>
  <c r="C12" i="13" s="1"/>
  <c r="C18" i="10"/>
  <c r="D7" i="13"/>
  <c r="C7" i="13" s="1"/>
  <c r="A40" i="12"/>
  <c r="K257" i="1"/>
  <c r="K271" i="1" s="1"/>
  <c r="A13" i="12"/>
  <c r="E62" i="2"/>
  <c r="E63" i="2" s="1"/>
  <c r="C91" i="2"/>
  <c r="C70" i="2"/>
  <c r="D31" i="2"/>
  <c r="D51" i="2" s="1"/>
  <c r="E31" i="2"/>
  <c r="H52" i="1"/>
  <c r="H619" i="1" s="1"/>
  <c r="H617" i="1"/>
  <c r="J617" i="1" s="1"/>
  <c r="F60" i="1"/>
  <c r="F112" i="1" s="1"/>
  <c r="C18" i="2"/>
  <c r="C16" i="13"/>
  <c r="E128" i="2"/>
  <c r="H660" i="1"/>
  <c r="H664" i="1" s="1"/>
  <c r="H672" i="1" s="1"/>
  <c r="C6" i="10" s="1"/>
  <c r="E8" i="13"/>
  <c r="C8" i="13" s="1"/>
  <c r="L539" i="1"/>
  <c r="L382" i="1"/>
  <c r="G636" i="1" s="1"/>
  <c r="J636" i="1" s="1"/>
  <c r="F661" i="1"/>
  <c r="I661" i="1" s="1"/>
  <c r="C15" i="10"/>
  <c r="C81" i="2"/>
  <c r="K503" i="1"/>
  <c r="C62" i="2"/>
  <c r="C35" i="10"/>
  <c r="C29" i="10"/>
  <c r="D6" i="13"/>
  <c r="C6" i="13" s="1"/>
  <c r="D15" i="13"/>
  <c r="C15" i="13" s="1"/>
  <c r="G649" i="1"/>
  <c r="J649" i="1" s="1"/>
  <c r="L544" i="1"/>
  <c r="L524" i="1"/>
  <c r="J338" i="1"/>
  <c r="J352" i="1" s="1"/>
  <c r="C124" i="2"/>
  <c r="C122" i="2"/>
  <c r="C120" i="2"/>
  <c r="C111" i="2"/>
  <c r="C56" i="2"/>
  <c r="F662" i="1"/>
  <c r="I662" i="1" s="1"/>
  <c r="C13" i="10"/>
  <c r="D145" i="2"/>
  <c r="E13" i="13"/>
  <c r="C13" i="13" s="1"/>
  <c r="I271" i="1"/>
  <c r="K551" i="1"/>
  <c r="H25" i="13"/>
  <c r="F169" i="1"/>
  <c r="E81" i="2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G50" i="2"/>
  <c r="G51" i="2" s="1"/>
  <c r="J652" i="1"/>
  <c r="G571" i="1"/>
  <c r="I434" i="1"/>
  <c r="G434" i="1"/>
  <c r="I663" i="1"/>
  <c r="C27" i="10"/>
  <c r="G635" i="1"/>
  <c r="J635" i="1" s="1"/>
  <c r="C36" i="10" l="1"/>
  <c r="F193" i="1"/>
  <c r="J647" i="1"/>
  <c r="K552" i="1"/>
  <c r="J642" i="1"/>
  <c r="H646" i="1"/>
  <c r="J646" i="1" s="1"/>
  <c r="G660" i="1"/>
  <c r="G664" i="1" s="1"/>
  <c r="G667" i="1" s="1"/>
  <c r="C128" i="2"/>
  <c r="H667" i="1"/>
  <c r="G627" i="1"/>
  <c r="J627" i="1" s="1"/>
  <c r="C39" i="10"/>
  <c r="C63" i="2"/>
  <c r="C104" i="2" s="1"/>
  <c r="C25" i="13"/>
  <c r="H33" i="13"/>
  <c r="L545" i="1"/>
  <c r="H648" i="1"/>
  <c r="J648" i="1" s="1"/>
  <c r="G104" i="2"/>
  <c r="E33" i="13"/>
  <c r="D35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F211" i="1"/>
  <c r="F257" i="1" s="1"/>
  <c r="F271" i="1" s="1"/>
  <c r="B18" i="12"/>
  <c r="A22" i="12" s="1"/>
  <c r="L198" i="1"/>
  <c r="C41" i="10"/>
  <c r="D38" i="10" s="1"/>
  <c r="C110" i="2" l="1"/>
  <c r="C115" i="2" s="1"/>
  <c r="C145" i="2" s="1"/>
  <c r="C11" i="10"/>
  <c r="D5" i="13"/>
  <c r="L211" i="1"/>
  <c r="D37" i="10"/>
  <c r="D36" i="10"/>
  <c r="D35" i="10"/>
  <c r="D40" i="10"/>
  <c r="D39" i="10"/>
  <c r="L257" i="1" l="1"/>
  <c r="L271" i="1" s="1"/>
  <c r="C5" i="13"/>
  <c r="D41" i="10"/>
  <c r="G632" i="1" l="1"/>
  <c r="J632" i="1" s="1"/>
  <c r="L276" i="1" l="1"/>
  <c r="K290" i="1"/>
  <c r="K338" i="1" l="1"/>
  <c r="K352" i="1" s="1"/>
  <c r="G31" i="13"/>
  <c r="G33" i="13" s="1"/>
  <c r="E109" i="2"/>
  <c r="E115" i="2" s="1"/>
  <c r="E145" i="2" s="1"/>
  <c r="C10" i="10"/>
  <c r="L290" i="1"/>
  <c r="C28" i="10" l="1"/>
  <c r="D10" i="10" s="1"/>
  <c r="L338" i="1"/>
  <c r="L352" i="1" s="1"/>
  <c r="G633" i="1" s="1"/>
  <c r="D31" i="13"/>
  <c r="F660" i="1"/>
  <c r="C31" i="13" l="1"/>
  <c r="D33" i="13"/>
  <c r="D36" i="13" s="1"/>
  <c r="J633" i="1"/>
  <c r="H656" i="1"/>
  <c r="F664" i="1"/>
  <c r="I660" i="1"/>
  <c r="I664" i="1" s="1"/>
  <c r="D11" i="10"/>
  <c r="D27" i="10"/>
  <c r="C30" i="10"/>
  <c r="D12" i="10"/>
  <c r="D18" i="10"/>
  <c r="D21" i="10"/>
  <c r="D17" i="10"/>
  <c r="D22" i="10"/>
  <c r="D24" i="10"/>
  <c r="D23" i="10"/>
  <c r="D20" i="10"/>
  <c r="D16" i="10"/>
  <c r="D26" i="10"/>
  <c r="D15" i="10"/>
  <c r="D19" i="10"/>
  <c r="D13" i="10"/>
  <c r="D25" i="10"/>
  <c r="D28" i="10" l="1"/>
  <c r="I667" i="1"/>
  <c r="I672" i="1"/>
  <c r="C7" i="10" s="1"/>
  <c r="F672" i="1"/>
  <c r="C4" i="10" s="1"/>
  <c r="F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<sst xmlns="http://schemas.openxmlformats.org/spreadsheetml/2006/main" count="3955" uniqueCount="913">
  <si>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</si>
  <si>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</si>
  <si>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</si>
  <si>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</si>
  <si>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</si>
  <si>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</si>
  <si>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</si>
  <si>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</si>
  <si>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</si>
  <si>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</si>
  <si>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</si>
  <si>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</si>
  <si>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</si>
  <si>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</si>
  <si>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</si>
  <si>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</si>
  <si>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</si>
  <si>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</si>
  <si>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</si>
  <si>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</si>
  <si>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</si>
  <si>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</si>
  <si>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</si>
  <si>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</si>
  <si>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</si>
  <si>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</si>
  <si>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</si>
  <si>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</si>
  <si>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</si>
  <si>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</si>
  <si>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</si>
  <si>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</si>
  <si>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</si>
  <si>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</si>
  <si>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</si>
  <si>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</si>
  <si>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</si>
  <si>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</si>
  <si>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</si>
  <si>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</si>
  <si>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</si>
  <si>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</si>
  <si>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</si>
  <si>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</si>
  <si>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</si>
  <si>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</si>
  <si>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</si>
  <si>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</si>
  <si>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</si>
  <si>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</si>
  <si>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</si>
  <si>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</si>
  <si>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</si>
  <si>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</si>
  <si>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</si>
  <si>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</si>
  <si>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</si>
  <si>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</si>
  <si>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</si>
  <si>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</si>
  <si>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</si>
  <si>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</si>
  <si>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</si>
  <si>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</si>
  <si>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</si>
  <si>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</si>
  <si>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</si>
  <si>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</si>
  <si>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</si>
  <si>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</si>
  <si>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</si>
  <si>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</si>
  <si>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</si>
  <si>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</si>
  <si>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</si>
  <si>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</si>
  <si>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</si>
  <si>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</si>
  <si>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</si>
  <si>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</si>
  <si>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</si>
  <si>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</si>
  <si>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</si>
  <si>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</si>
  <si>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</si>
  <si>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</si>
  <si>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</si>
  <si>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</si>
  <si>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</si>
  <si>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</si>
  <si>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</si>
  <si>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</si>
  <si>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</si>
  <si>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</si>
  <si>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</si>
  <si>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</si>
  <si>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</si>
  <si>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</si>
  <si>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</si>
  <si>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</si>
  <si>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</si>
  <si>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</si>
  <si>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</si>
  <si>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</si>
  <si>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</si>
  <si>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</si>
  <si>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</si>
  <si>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</si>
  <si>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</si>
  <si>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</si>
  <si>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</si>
  <si>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</si>
  <si>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</si>
  <si>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</si>
  <si>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</si>
  <si>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</si>
  <si>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</si>
  <si>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</si>
  <si>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</si>
  <si>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</si>
  <si>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</si>
  <si>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</si>
  <si>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</si>
  <si>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</si>
  <si>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</si>
  <si>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</si>
  <si>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</si>
  <si>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</si>
  <si>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</si>
  <si>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</si>
  <si>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</si>
  <si>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</si>
  <si>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</si>
  <si>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</si>
  <si>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</si>
  <si>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</si>
  <si>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</si>
  <si>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</si>
  <si>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</si>
  <si>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</si>
  <si>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</si>
  <si>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</si>
  <si>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</si>
  <si>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</si>
  <si>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</si>
  <si>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</si>
  <si>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</si>
  <si>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</si>
  <si>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</si>
  <si>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</si>
  <si>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</si>
  <si>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</si>
  <si>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</si>
  <si>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</si>
  <si>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</si>
  <si>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</si>
  <si>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</si>
  <si>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</si>
  <si>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</si>
  <si>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</si>
  <si>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</si>
  <si>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</si>
  <si>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</si>
  <si>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</si>
  <si>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</si>
  <si>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</si>
  <si>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</si>
  <si>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</si>
  <si>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</si>
  <si>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</si>
  <si>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</si>
  <si>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</si>
  <si>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</si>
  <si>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</si>
  <si>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</si>
  <si>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</si>
  <si>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</si>
  <si>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</si>
  <si>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</si>
  <si>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</si>
  <si>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</si>
  <si>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</si>
  <si>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</si>
  <si>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</si>
  <si>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</si>
  <si>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</si>
  <si>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</si>
  <si>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</si>
  <si>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</si>
  <si>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</si>
  <si>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</si>
  <si>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</si>
  <si>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</si>
  <si>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</si>
  <si>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</si>
  <si>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</si>
  <si>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</si>
  <si>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</si>
  <si>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</si>
  <si>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</si>
  <si>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</si>
  <si>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</si>
  <si>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</si>
  <si>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</si>
  <si>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</si>
  <si>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</si>
  <si>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</si>
  <si>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</si>
  <si>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</si>
  <si>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</si>
  <si>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</si>
  <si>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</si>
  <si>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</si>
  <si>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</si>
  <si>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</si>
  <si>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</si>
  <si>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</si>
  <si>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</si>
  <si>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</si>
  <si>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</si>
  <si>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</si>
  <si>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</si>
  <si>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</si>
  <si>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</si>
  <si>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</si>
  <si>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</si>
  <si>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</si>
  <si>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</si>
  <si>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</si>
  <si>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</si>
  <si>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</si>
  <si>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</si>
  <si>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</si>
  <si>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</si>
  <si>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</si>
  <si>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</si>
  <si>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</si>
  <si>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</si>
  <si>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</si>
  <si>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</si>
  <si>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</si>
  <si>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</si>
  <si>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</si>
  <si>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</si>
  <si>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</si>
  <si>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</si>
  <si>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</si>
  <si>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</si>
  <si>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</si>
  <si>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</si>
  <si>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</si>
  <si>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</si>
  <si>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</si>
  <si>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</si>
  <si>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</si>
  <si>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</si>
  <si>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</si>
  <si>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</si>
  <si>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</si>
  <si>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</si>
  <si>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</si>
  <si>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</si>
  <si>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</si>
  <si>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</si>
  <si>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</si>
  <si>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</si>
  <si>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</si>
  <si>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</si>
  <si>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</si>
  <si>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</si>
  <si>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</si>
  <si>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</si>
  <si>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</si>
  <si>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</si>
  <si>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</si>
  <si>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</si>
  <si>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</si>
  <si>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</si>
  <si>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</si>
  <si>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</si>
  <si>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</si>
  <si>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</si>
  <si>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</si>
  <si>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</si>
  <si>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</si>
  <si>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</si>
  <si>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</si>
  <si>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</si>
  <si>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</si>
  <si>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</si>
  <si>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</si>
  <si>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</si>
  <si>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</si>
  <si>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</si>
  <si>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</si>
  <si>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</si>
  <si>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</si>
  <si>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</si>
  <si>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</si>
  <si>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</si>
  <si>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</si>
  <si>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</si>
  <si>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</si>
  <si>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</si>
  <si>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</si>
  <si>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</si>
  <si>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</si>
  <si>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</si>
  <si>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</si>
  <si>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</si>
  <si>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</si>
  <si>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</si>
  <si>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</si>
  <si>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</si>
  <si>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</si>
  <si>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</si>
  <si>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</si>
  <si>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</si>
  <si>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</si>
  <si>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</si>
  <si>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</si>
  <si>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</si>
  <si>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</si>
  <si>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</si>
  <si>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</si>
  <si>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</si>
  <si>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</si>
  <si>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</si>
  <si>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</si>
  <si>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</si>
  <si>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</si>
  <si>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</si>
  <si>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</si>
  <si>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</si>
  <si>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</si>
  <si>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</si>
  <si>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</si>
  <si>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</si>
  <si>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</si>
  <si>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</si>
  <si>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</si>
  <si>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</si>
  <si>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</si>
  <si>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</si>
  <si>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</si>
  <si>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</si>
  <si>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</si>
  <si>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</si>
  <si>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</si>
  <si>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</si>
  <si>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</si>
  <si>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</si>
  <si>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</si>
  <si>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</si>
  <si>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</si>
  <si>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</si>
  <si>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</si>
  <si>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</si>
  <si>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</si>
  <si>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</si>
  <si>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</si>
  <si>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</si>
  <si>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</si>
  <si>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</si>
  <si>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</si>
  <si>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</si>
  <si>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</si>
  <si>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</si>
  <si>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</si>
  <si>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</si>
  <si>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</si>
  <si>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</si>
  <si>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</si>
  <si>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</si>
  <si>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</si>
  <si>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</si>
  <si>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</si>
  <si>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</si>
  <si>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</si>
  <si>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</si>
  <si>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</si>
  <si>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</si>
  <si>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</si>
  <si>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</si>
  <si>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</si>
  <si>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</si>
  <si>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</si>
  <si>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</si>
  <si>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</si>
  <si>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</si>
  <si>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</si>
  <si>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</si>
  <si>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</si>
  <si>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</si>
  <si>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</si>
  <si>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</si>
  <si>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</si>
  <si>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</si>
  <si>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</si>
  <si>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</si>
  <si>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</si>
  <si>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</si>
  <si>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</si>
  <si>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</si>
  <si>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</si>
  <si>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</si>
  <si>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</si>
  <si>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</si>
  <si>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</si>
  <si>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</si>
  <si>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</si>
  <si>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</si>
  <si>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</si>
  <si>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</si>
  <si>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</si>
  <si>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</si>
  <si>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</si>
  <si>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</si>
  <si>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</si>
  <si>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</si>
  <si>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</si>
  <si>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</si>
  <si>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</si>
  <si>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</si>
  <si>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</si>
  <si>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</si>
  <si>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</si>
  <si>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</si>
  <si>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</si>
  <si>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</si>
  <si>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</si>
  <si>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</si>
  <si>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</si>
  <si>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</si>
  <si>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</si>
  <si>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</si>
  <si>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</si>
  <si>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</si>
  <si>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</si>
  <si>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</si>
  <si>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</si>
  <si>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</si>
  <si>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</si>
  <si>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</si>
  <si>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</si>
  <si>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</si>
  <si>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</si>
  <si>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</si>
  <si>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</si>
  <si>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</si>
  <si>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</si>
  <si>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</si>
  <si>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</si>
  <si>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</si>
  <si>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</si>
  <si>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</si>
  <si>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</si>
  <si>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</si>
  <si>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</si>
  <si>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</si>
  <si>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</si>
  <si>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</si>
  <si>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</si>
  <si>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</si>
  <si>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</si>
  <si>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</si>
  <si>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</si>
  <si>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</si>
  <si>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</si>
  <si>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</si>
  <si>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</si>
  <si>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</si>
  <si>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</si>
  <si>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</si>
  <si>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</si>
  <si>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</si>
  <si>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</si>
  <si>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</si>
  <si>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</si>
  <si>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</si>
  <si>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</si>
  <si>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</si>
  <si>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</si>
  <si>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</si>
  <si>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</si>
  <si>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</si>
  <si>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</si>
  <si>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</si>
  <si>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</si>
  <si>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</si>
  <si>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</si>
  <si>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</si>
  <si>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</si>
  <si>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</si>
  <si>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</si>
  <si>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</si>
  <si>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</si>
  <si>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</si>
  <si>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</si>
  <si>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</si>
  <si>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</si>
  <si>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</si>
  <si>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</si>
  <si>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</si>
  <si>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</si>
  <si>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</si>
  <si>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</si>
  <si>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</si>
  <si>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</si>
  <si>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</si>
  <si>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</si>
  <si>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</si>
  <si>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</si>
  <si>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</si>
  <si>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</si>
  <si>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</si>
  <si>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</si>
  <si>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</si>
  <si>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</si>
  <si>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</si>
  <si>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</si>
  <si>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</si>
  <si>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</si>
  <si>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</si>
  <si>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</si>
  <si>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</si>
  <si>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</si>
  <si>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</si>
  <si>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</si>
  <si>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</si>
  <si>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</si>
  <si>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</si>
  <si>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</si>
  <si>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</si>
  <si>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</si>
  <si>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</si>
  <si>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</si>
  <si>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</si>
  <si>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</si>
  <si>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</si>
  <si>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</si>
  <si>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</si>
  <si>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</si>
  <si>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</si>
  <si>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</si>
  <si>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</si>
  <si>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</si>
  <si>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</si>
  <si>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</si>
  <si>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</si>
  <si>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</si>
  <si>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</si>
  <si>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</si>
  <si>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</si>
  <si>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</si>
  <si>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</si>
  <si>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</si>
  <si>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</si>
  <si>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</si>
  <si>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</si>
  <si>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</si>
  <si>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</si>
  <si>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</si>
  <si>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</si>
  <si>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</si>
  <si>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</si>
  <si>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</si>
  <si>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</si>
  <si>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</si>
  <si>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</si>
  <si>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</si>
  <si>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</si>
  <si>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</si>
  <si>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</si>
  <si>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</si>
  <si>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</si>
  <si>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</si>
  <si>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</si>
  <si>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</si>
  <si>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</si>
  <si>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</si>
  <si>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</si>
  <si>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</si>
  <si>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</si>
  <si>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</si>
  <si>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</si>
  <si>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</si>
  <si>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</si>
  <si>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</si>
  <si>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</si>
  <si>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</si>
  <si>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</si>
  <si>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</si>
  <si>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</si>
  <si>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</si>
  <si>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</si>
  <si>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</si>
  <si>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</si>
  <si>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</si>
  <si>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</si>
  <si>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</si>
  <si>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</si>
  <si>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</si>
  <si>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</si>
  <si>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</si>
  <si>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</si>
  <si>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</si>
  <si>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</si>
  <si>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</si>
  <si>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</si>
  <si>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</si>
  <si>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</si>
  <si>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</si>
  <si>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</si>
  <si>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</si>
  <si>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</si>
  <si>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</si>
  <si>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</si>
  <si>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</si>
  <si>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</si>
  <si>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</si>
  <si>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</si>
  <si>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</si>
  <si>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</si>
  <si>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</si>
  <si>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</si>
  <si>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</si>
  <si>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</si>
  <si>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</si>
  <si>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</si>
  <si>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</si>
  <si>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</si>
  <si>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</si>
  <si>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</si>
  <si>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</si>
  <si>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</si>
  <si>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</si>
  <si>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</si>
  <si>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</si>
  <si>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</si>
  <si>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</si>
  <si>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</si>
  <si>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</si>
  <si>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</si>
  <si>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</si>
  <si>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</si>
  <si>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</si>
  <si>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</si>
  <si>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</si>
  <si>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</si>
  <si>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</si>
  <si>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</si>
  <si>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</si>
  <si>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</si>
  <si>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</si>
  <si>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</si>
  <si>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</si>
  <si>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</si>
  <si>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</si>
  <si>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</si>
  <si>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</si>
  <si>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</si>
  <si>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</si>
  <si>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</si>
  <si>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</si>
  <si>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</si>
  <si>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</si>
  <si>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</si>
  <si>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</si>
  <si>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</si>
  <si>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</si>
  <si>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</si>
  <si>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</si>
  <si>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</si>
  <si>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</si>
  <si>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</si>
  <si>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</si>
  <si>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</si>
  <si>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</si>
  <si>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</si>
  <si>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</si>
  <si>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</si>
  <si>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</si>
  <si>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</si>
  <si>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</si>
  <si>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</si>
  <si>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</si>
  <si>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</si>
  <si>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</si>
  <si>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</si>
  <si>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</si>
  <si>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</si>
  <si>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</si>
  <si>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</si>
  <si>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</si>
  <si>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</si>
  <si>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</si>
  <si>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</si>
  <si>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</si>
  <si>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</si>
  <si>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</si>
  <si>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</si>
  <si>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</si>
  <si>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</si>
  <si>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</si>
  <si>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</si>
  <si>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</si>
  <si>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</si>
  <si>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</si>
  <si>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</si>
  <si>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</si>
  <si>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</si>
  <si>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</si>
  <si>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</si>
  <si>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</si>
  <si>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</si>
  <si>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</si>
  <si>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</si>
  <si>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</si>
  <si>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</si>
  <si>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</si>
  <si>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</si>
  <si>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</si>
  <si>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</si>
  <si>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</si>
  <si>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</si>
  <si>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</si>
  <si>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</si>
  <si>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</si>
  <si>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</si>
  <si>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</si>
  <si>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</si>
  <si>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</si>
  <si>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</si>
  <si>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</si>
  <si>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</si>
  <si>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</si>
  <si>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</si>
  <si>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</si>
  <si>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</si>
  <si>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</si>
  <si>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</si>
  <si>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</si>
  <si>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</si>
  <si>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</si>
  <si>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</si>
  <si>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</si>
  <si>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</si>
  <si>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</si>
  <si>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</si>
  <si>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</si>
  <si>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</si>
  <si>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</si>
  <si>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</si>
  <si>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</si>
  <si>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</si>
  <si>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</si>
  <si>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</si>
  <si>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</si>
  <si>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</si>
  <si>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</si>
  <si>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</si>
  <si>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</si>
  <si>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</si>
  <si>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</si>
  <si>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</si>
  <si>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</si>
  <si>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</si>
  <si>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</si>
  <si>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</si>
  <si>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</si>
  <si>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</si>
  <si>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</si>
  <si>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</si>
  <si>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</si>
  <si>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</si>
  <si>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</si>
  <si>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</si>
  <si>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</si>
  <si>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</si>
  <si>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</si>
  <si>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</si>
  <si>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</si>
  <si>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</si>
  <si>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</si>
  <si>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</si>
  <si>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</si>
  <si>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</si>
  <si>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</si>
  <si>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</si>
  <si>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</si>
  <si>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</si>
  <si>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</si>
  <si>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</si>
  <si>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</si>
  <si>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</si>
  <si>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</si>
  <si>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</si>
  <si>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</si>
  <si>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</si>
  <si>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</si>
  <si>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</si>
  <si>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</si>
  <si>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</si>
  <si>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</si>
  <si>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</si>
  <si>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</si>
  <si>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</si>
  <si>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</si>
  <si>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</si>
  <si>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</si>
  <si>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</si>
  <si>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</si>
  <si>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</si>
  <si>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</si>
  <si>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</si>
  <si>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</si>
  <si>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</si>
  <si>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</si>
  <si>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</si>
  <si>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</si>
  <si>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</si>
  <si>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</si>
  <si>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</si>
  <si>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</si>
  <si>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</si>
  <si>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</si>
  <si>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</si>
  <si>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</si>
  <si>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</si>
  <si>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</si>
  <si>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</si>
  <si>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</si>
  <si>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</si>
  <si>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</si>
  <si>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</si>
  <si>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</si>
  <si>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</si>
  <si>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</si>
  <si>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</si>
  <si>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</si>
  <si>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</si>
  <si>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</si>
  <si>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</si>
  <si>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</si>
  <si>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</si>
  <si>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</si>
  <si>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</si>
  <si>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</si>
  <si>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</si>
  <si>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</si>
  <si>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</si>
  <si>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</si>
  <si>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</si>
  <si>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</si>
  <si>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</si>
  <si>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</si>
  <si>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</si>
  <si>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</si>
  <si>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</si>
  <si>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</si>
  <si>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</si>
  <si>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</si>
  <si>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</si>
  <si>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</si>
  <si>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</si>
  <si>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</si>
  <si>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</si>
  <si>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</si>
  <si>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</si>
  <si>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</si>
  <si>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</si>
  <si>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</si>
  <si>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</si>
  <si>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</si>
  <si>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</si>
  <si>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</si>
  <si>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</si>
  <si>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</si>
  <si>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</si>
  <si>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</si>
  <si>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</si>
  <si>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</si>
  <si>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</si>
  <si>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</si>
  <si>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</si>
  <si>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</si>
  <si>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</si>
  <si>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</si>
  <si>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</si>
  <si>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</si>
  <si>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</si>
  <si>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</si>
  <si>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</si>
  <si>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</si>
  <si>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</si>
  <si>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</si>
  <si>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</si>
  <si>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</si>
  <si>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</si>
  <si>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</si>
  <si>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</si>
  <si>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</si>
  <si>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</si>
  <si>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</si>
  <si>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</si>
  <si>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</si>
  <si>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</si>
  <si>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</si>
  <si>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</si>
  <si>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</si>
  <si>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</si>
  <si>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GRS Cooperative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</si>
</sst>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90" zoomScaleNormal="90" workbookViewId="0">
      <pane xSplit="5" ySplit="3" topLeftCell="F625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203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45703.67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367202.47</v>
      </c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32070.5</v>
      </c>
      <c r="G12" s="18"/>
      <c r="H12" s="18">
        <v>7608.57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f>3321.91+40000+11823.34</f>
        <v>55145.25</v>
      </c>
      <c r="G13" s="18">
        <v>3504.85</v>
      </c>
      <c r="H13" s="18">
        <v>32810.879999999997</v>
      </c>
      <c r="I13" s="18"/>
      <c r="J13" s="67">
        <f>SUM(I442)</f>
        <v>975176.41999999993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531.59</v>
      </c>
      <c r="G14" s="18">
        <v>12893.5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32840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533493.48</v>
      </c>
      <c r="G19" s="41">
        <f>SUM(G9:G18)</f>
        <v>16398.349999999999</v>
      </c>
      <c r="H19" s="41">
        <f>SUM(H9:H18)</f>
        <v>40419.449999999997</v>
      </c>
      <c r="I19" s="41">
        <f>SUM(I9:I18)</f>
        <v>0</v>
      </c>
      <c r="J19" s="41">
        <f>SUM(J9:J18)</f>
        <v>975176.41999999993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4371.8999999999996</v>
      </c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>
        <v>2241.9299999999998</v>
      </c>
      <c r="I23" s="18"/>
      <c r="J23" s="67">
        <f>SUM(I449)</f>
        <v>51823.34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53003.72</v>
      </c>
      <c r="G24" s="18"/>
      <c r="H24" s="18">
        <v>16.75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1027.06+52497.84+5500+137.3</f>
        <v>59162.2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>
        <v>38160.769999999997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112165.92</v>
      </c>
      <c r="G32" s="41">
        <f>SUM(G22:G31)</f>
        <v>4371.8999999999996</v>
      </c>
      <c r="H32" s="41">
        <f>SUM(H22:H31)</f>
        <v>40419.449999999997</v>
      </c>
      <c r="I32" s="41">
        <f>SUM(I22:I31)</f>
        <v>0</v>
      </c>
      <c r="J32" s="41">
        <f>SUM(J22:J31)</f>
        <v>51823.34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27633.200000000001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454.5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12026.45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5000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895265.38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416327.56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421327.56</v>
      </c>
      <c r="G51" s="41">
        <f>SUM(G35:G50)</f>
        <v>12026.45</v>
      </c>
      <c r="H51" s="41">
        <f>SUM(H35:H50)</f>
        <v>0</v>
      </c>
      <c r="I51" s="41">
        <f>SUM(I35:I50)</f>
        <v>0</v>
      </c>
      <c r="J51" s="41">
        <f>SUM(J35:J50)</f>
        <v>923353.08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533493.48</v>
      </c>
      <c r="G52" s="41">
        <f>G51+G32</f>
        <v>16398.349999999999</v>
      </c>
      <c r="H52" s="41">
        <f>H51+H32</f>
        <v>40419.449999999997</v>
      </c>
      <c r="I52" s="41">
        <f>I51+I32</f>
        <v>0</v>
      </c>
      <c r="J52" s="41">
        <f>J51+J32</f>
        <v>975176.41999999993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4108899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4108899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500</v>
      </c>
      <c r="G64" s="24" t="s">
        <v>288</v>
      </c>
      <c r="H64" s="18">
        <v>7610</v>
      </c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100084.45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100584.45</v>
      </c>
      <c r="G79" s="45" t="s">
        <v>288</v>
      </c>
      <c r="H79" s="41">
        <f>SUM(H63:H78)</f>
        <v>7610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>
        <v>6493.16</v>
      </c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6493.16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5210.57</v>
      </c>
      <c r="G96" s="18"/>
      <c r="H96" s="18"/>
      <c r="I96" s="18"/>
      <c r="J96" s="18">
        <v>7020.55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103747.98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3490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106269.55</v>
      </c>
      <c r="I102" s="18"/>
      <c r="J102" s="18">
        <v>500</v>
      </c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>
        <v>816</v>
      </c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>
        <v>85.4</v>
      </c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50158.23</v>
      </c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39199.879999999997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1454.2</v>
      </c>
      <c r="G110" s="18"/>
      <c r="H110" s="18"/>
      <c r="I110" s="18"/>
      <c r="J110" s="18">
        <v>2160</v>
      </c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100414.28</v>
      </c>
      <c r="G111" s="41">
        <f>SUM(G96:G110)</f>
        <v>103747.98</v>
      </c>
      <c r="H111" s="41">
        <f>SUM(H96:H110)</f>
        <v>106269.55</v>
      </c>
      <c r="I111" s="41">
        <f>SUM(I96:I110)</f>
        <v>0</v>
      </c>
      <c r="J111" s="41">
        <f>SUM(J96:J110)</f>
        <v>9680.5499999999993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4316390.8900000006</v>
      </c>
      <c r="G112" s="41">
        <f>G60+G111</f>
        <v>103747.98</v>
      </c>
      <c r="H112" s="41">
        <f>H60+H79+H94+H111</f>
        <v>113879.55</v>
      </c>
      <c r="I112" s="41">
        <f>I60+I111</f>
        <v>0</v>
      </c>
      <c r="J112" s="41">
        <f>J60+J111</f>
        <v>9680.5499999999993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2049147.04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768603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2817750.04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18353.560000000001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5405.4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2665.46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>
        <v>16059.91</v>
      </c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23758.959999999999</v>
      </c>
      <c r="G136" s="41">
        <f>SUM(G123:G135)</f>
        <v>18725.37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2841509</v>
      </c>
      <c r="G140" s="41">
        <f>G121+SUM(G136:G137)</f>
        <v>18725.37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v>17629.8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90135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147571.10999999999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73283.31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103573.13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64068.61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64068.61</v>
      </c>
      <c r="G162" s="41">
        <f>SUM(G150:G161)</f>
        <v>73283.31</v>
      </c>
      <c r="H162" s="41">
        <f>SUM(H150:H161)</f>
        <v>358909.04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20606.84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84675.45</v>
      </c>
      <c r="G169" s="41">
        <f>G147+G162+SUM(G163:G168)</f>
        <v>73283.31</v>
      </c>
      <c r="H169" s="41">
        <f>H147+H162+SUM(H163:H168)</f>
        <v>358909.04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140661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140661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40000</v>
      </c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11823.34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51823.34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>
        <v>43.93</v>
      </c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51867.27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140661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7294442.6100000003</v>
      </c>
      <c r="G193" s="47">
        <f>G112+G140+G169+G192</f>
        <v>195756.65999999997</v>
      </c>
      <c r="H193" s="47">
        <f>H112+H140+H169+H192</f>
        <v>472788.58999999997</v>
      </c>
      <c r="I193" s="47">
        <f>I112+I140+I169+I192</f>
        <v>0</v>
      </c>
      <c r="J193" s="47">
        <f>J112+J140+J192</f>
        <v>150341.54999999999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641452.15999999992</v>
      </c>
      <c r="G197" s="18">
        <v>331037.65999999997</v>
      </c>
      <c r="H197" s="18">
        <v>3356.79</v>
      </c>
      <c r="I197" s="18">
        <v>34600.25</v>
      </c>
      <c r="J197" s="18">
        <v>27999.02</v>
      </c>
      <c r="K197" s="18">
        <v>3959</v>
      </c>
      <c r="L197" s="19">
        <f>SUM(F197:K197)</f>
        <v>1042404.8799999999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336875.95999999996</v>
      </c>
      <c r="G198" s="18">
        <v>217424.30999999997</v>
      </c>
      <c r="H198" s="18">
        <f>20094.27+14563.17</f>
        <v>34657.440000000002</v>
      </c>
      <c r="I198" s="18">
        <f>2423.26+405.43</f>
        <v>2828.69</v>
      </c>
      <c r="J198" s="18">
        <v>0</v>
      </c>
      <c r="K198" s="18">
        <v>0</v>
      </c>
      <c r="L198" s="19">
        <f>SUM(F198:K198)</f>
        <v>591786.39999999991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4853.1000000000004</v>
      </c>
      <c r="G200" s="18">
        <v>765.82</v>
      </c>
      <c r="H200" s="18">
        <f>5000+1298.93</f>
        <v>6298.93</v>
      </c>
      <c r="I200" s="18">
        <v>0</v>
      </c>
      <c r="J200" s="18"/>
      <c r="K200" s="18"/>
      <c r="L200" s="19">
        <f>SUM(F200:K200)</f>
        <v>11917.85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124125.75+10840.97</f>
        <v>134966.72</v>
      </c>
      <c r="G202" s="18">
        <f>61457.67+6535.13</f>
        <v>67992.800000000003</v>
      </c>
      <c r="H202" s="18">
        <f>139587.87+22512.8</f>
        <v>162100.66999999998</v>
      </c>
      <c r="I202" s="18">
        <v>4218.1899999999996</v>
      </c>
      <c r="J202" s="18">
        <v>0</v>
      </c>
      <c r="K202" s="18">
        <v>504</v>
      </c>
      <c r="L202" s="19">
        <f t="shared" ref="L202:L208" si="0">SUM(F202:K202)</f>
        <v>369782.38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55142.2+400</f>
        <v>55542.2</v>
      </c>
      <c r="G203" s="18">
        <f>26953.14+31.88</f>
        <v>26985.02</v>
      </c>
      <c r="H203" s="18">
        <f>6503.81+150</f>
        <v>6653.81</v>
      </c>
      <c r="I203" s="18">
        <v>7017.39</v>
      </c>
      <c r="J203" s="18">
        <v>9663.260000000002</v>
      </c>
      <c r="K203" s="18">
        <v>875</v>
      </c>
      <c r="L203" s="19">
        <f t="shared" si="0"/>
        <v>106736.68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5960.512092763749</v>
      </c>
      <c r="G204" s="18">
        <v>487.58949882347235</v>
      </c>
      <c r="H204" s="18">
        <v>191136.78712587635</v>
      </c>
      <c r="I204" s="18">
        <v>356.38469664992846</v>
      </c>
      <c r="J204" s="18">
        <v>0</v>
      </c>
      <c r="K204" s="18">
        <v>2400.3746156271986</v>
      </c>
      <c r="L204" s="19">
        <f t="shared" si="0"/>
        <v>200341.6480297407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98661.760000000009</v>
      </c>
      <c r="G205" s="18">
        <v>52952.429999999993</v>
      </c>
      <c r="H205" s="18">
        <v>6342.9000000000005</v>
      </c>
      <c r="I205" s="18">
        <v>2133.15</v>
      </c>
      <c r="J205" s="18">
        <v>1029.3600000000001</v>
      </c>
      <c r="K205" s="18">
        <v>3126.79</v>
      </c>
      <c r="L205" s="19">
        <f t="shared" si="0"/>
        <v>164246.38999999998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76981.55</v>
      </c>
      <c r="G207" s="18">
        <v>53935.839999999997</v>
      </c>
      <c r="H207" s="18">
        <v>32751.4</v>
      </c>
      <c r="I207" s="18">
        <v>57976.06</v>
      </c>
      <c r="J207" s="18">
        <v>1864.1499999999999</v>
      </c>
      <c r="K207" s="18">
        <v>0</v>
      </c>
      <c r="L207" s="19">
        <f t="shared" si="0"/>
        <v>223509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f>34100+3316.9</f>
        <v>37416.9</v>
      </c>
      <c r="G208" s="18">
        <f>14395.67+321.47</f>
        <v>14717.14</v>
      </c>
      <c r="H208" s="18">
        <v>18505.71</v>
      </c>
      <c r="I208" s="18">
        <f>8459.29+735.26</f>
        <v>9194.5500000000011</v>
      </c>
      <c r="J208" s="18">
        <v>32927.25</v>
      </c>
      <c r="K208" s="18">
        <v>366.8</v>
      </c>
      <c r="L208" s="19">
        <f t="shared" si="0"/>
        <v>113128.35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1392710.8620927637</v>
      </c>
      <c r="G211" s="41">
        <f t="shared" si="1"/>
        <v>766298.60949882353</v>
      </c>
      <c r="H211" s="41">
        <f t="shared" si="1"/>
        <v>461804.43712587637</v>
      </c>
      <c r="I211" s="41">
        <f t="shared" si="1"/>
        <v>118324.66469664992</v>
      </c>
      <c r="J211" s="41">
        <f t="shared" si="1"/>
        <v>73483.040000000008</v>
      </c>
      <c r="K211" s="41">
        <f t="shared" si="1"/>
        <v>11231.964615627199</v>
      </c>
      <c r="L211" s="41">
        <f t="shared" si="1"/>
        <v>2823853.5780297411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427105.65</v>
      </c>
      <c r="G215" s="18">
        <v>180400.98000000004</v>
      </c>
      <c r="H215" s="18">
        <v>18448.02</v>
      </c>
      <c r="I215" s="18">
        <v>15000.090000000002</v>
      </c>
      <c r="J215" s="18">
        <v>14642.699999999999</v>
      </c>
      <c r="K215" s="18">
        <v>3516</v>
      </c>
      <c r="L215" s="19">
        <f>SUM(F215:K215)</f>
        <v>659113.44000000006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166419.45000000001</v>
      </c>
      <c r="G216" s="18">
        <v>95223.67</v>
      </c>
      <c r="H216" s="18">
        <v>275998.39</v>
      </c>
      <c r="I216" s="18">
        <v>1621.9199999999998</v>
      </c>
      <c r="J216" s="18">
        <v>429</v>
      </c>
      <c r="K216" s="18">
        <v>0</v>
      </c>
      <c r="L216" s="19">
        <f>SUM(F216:K216)</f>
        <v>539692.43000000005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30776.560000000005</v>
      </c>
      <c r="G218" s="18">
        <v>5322.4800000000005</v>
      </c>
      <c r="H218" s="18">
        <v>20059.669999999998</v>
      </c>
      <c r="I218" s="18">
        <v>4315.9800000000005</v>
      </c>
      <c r="J218" s="18">
        <v>0</v>
      </c>
      <c r="K218" s="18">
        <v>918.5</v>
      </c>
      <c r="L218" s="19">
        <f>SUM(F218:K218)</f>
        <v>61393.19000000001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122369.92000000001</v>
      </c>
      <c r="G220" s="18">
        <v>68297.149999999994</v>
      </c>
      <c r="H220" s="18">
        <v>59085.22</v>
      </c>
      <c r="I220" s="18">
        <v>3698.45</v>
      </c>
      <c r="J220" s="18">
        <v>0</v>
      </c>
      <c r="K220" s="18">
        <v>557.52</v>
      </c>
      <c r="L220" s="19">
        <f t="shared" ref="L220:L226" si="2">SUM(F220:K220)</f>
        <v>254008.26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31260.639999999999</v>
      </c>
      <c r="G221" s="18">
        <v>12211.159999999998</v>
      </c>
      <c r="H221" s="18">
        <v>4283.07</v>
      </c>
      <c r="I221" s="18">
        <v>3993.97</v>
      </c>
      <c r="J221" s="18">
        <v>9121.64</v>
      </c>
      <c r="K221" s="18">
        <v>1150</v>
      </c>
      <c r="L221" s="19">
        <f t="shared" si="2"/>
        <v>62020.479999999996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3933.5628168740755</v>
      </c>
      <c r="G222" s="18">
        <v>321.77837954539939</v>
      </c>
      <c r="H222" s="18">
        <v>126138.24904203965</v>
      </c>
      <c r="I222" s="18">
        <v>235.19146835504452</v>
      </c>
      <c r="J222" s="18">
        <v>0</v>
      </c>
      <c r="K222" s="18">
        <v>1584.0961628217258</v>
      </c>
      <c r="L222" s="19">
        <f t="shared" si="2"/>
        <v>132212.87786963588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55455.4</v>
      </c>
      <c r="G223" s="18">
        <v>22246.080000000002</v>
      </c>
      <c r="H223" s="18">
        <v>4551.4699999999993</v>
      </c>
      <c r="I223" s="18">
        <v>1356.94</v>
      </c>
      <c r="J223" s="18">
        <v>408.49</v>
      </c>
      <c r="K223" s="18">
        <v>1820.41</v>
      </c>
      <c r="L223" s="19">
        <f t="shared" si="2"/>
        <v>85838.790000000023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50230.1</v>
      </c>
      <c r="G225" s="18">
        <v>34134.58</v>
      </c>
      <c r="H225" s="18">
        <v>20604.310000000001</v>
      </c>
      <c r="I225" s="18">
        <v>40473.03</v>
      </c>
      <c r="J225" s="18">
        <v>5261.14</v>
      </c>
      <c r="K225" s="18">
        <v>0</v>
      </c>
      <c r="L225" s="19">
        <f t="shared" si="2"/>
        <v>150703.16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24377.67</v>
      </c>
      <c r="G226" s="18">
        <v>9467.1400000000012</v>
      </c>
      <c r="H226" s="18">
        <v>16380.35</v>
      </c>
      <c r="I226" s="18">
        <v>5734.54</v>
      </c>
      <c r="J226" s="18">
        <v>21391.5</v>
      </c>
      <c r="K226" s="18">
        <v>235.15</v>
      </c>
      <c r="L226" s="19">
        <f t="shared" si="2"/>
        <v>77586.349999999991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911928.95281687437</v>
      </c>
      <c r="G229" s="41">
        <f>SUM(G215:G228)</f>
        <v>427625.01837954542</v>
      </c>
      <c r="H229" s="41">
        <f>SUM(H215:H228)</f>
        <v>545548.74904203974</v>
      </c>
      <c r="I229" s="41">
        <f>SUM(I215:I228)</f>
        <v>76430.11146835504</v>
      </c>
      <c r="J229" s="41">
        <f>SUM(J215:J228)</f>
        <v>51254.47</v>
      </c>
      <c r="K229" s="41">
        <f t="shared" si="3"/>
        <v>9781.6761628217264</v>
      </c>
      <c r="L229" s="41">
        <f t="shared" si="3"/>
        <v>2022568.9778696359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616460.24</v>
      </c>
      <c r="G233" s="18">
        <v>269609.57999999996</v>
      </c>
      <c r="H233" s="18">
        <v>81391.710000000006</v>
      </c>
      <c r="I233" s="18">
        <v>44887.939999999995</v>
      </c>
      <c r="J233" s="18">
        <v>25595.110000000004</v>
      </c>
      <c r="K233" s="18">
        <v>3836.41</v>
      </c>
      <c r="L233" s="19">
        <f>SUM(F233:K233)</f>
        <v>1041780.9899999999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191908.81999999998</v>
      </c>
      <c r="G234" s="18">
        <v>97085.89</v>
      </c>
      <c r="H234" s="18">
        <v>29612.82</v>
      </c>
      <c r="I234" s="18">
        <v>1613.7699999999998</v>
      </c>
      <c r="J234" s="18">
        <v>87.93</v>
      </c>
      <c r="K234" s="18">
        <v>0</v>
      </c>
      <c r="L234" s="19">
        <f>SUM(F234:K234)</f>
        <v>320309.23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67310.28</v>
      </c>
      <c r="I235" s="18"/>
      <c r="J235" s="18"/>
      <c r="K235" s="18"/>
      <c r="L235" s="19">
        <f>SUM(F235:K235)</f>
        <v>67310.28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74413.900000000009</v>
      </c>
      <c r="G236" s="18">
        <v>12595.78</v>
      </c>
      <c r="H236" s="18">
        <v>20108.439999999999</v>
      </c>
      <c r="I236" s="18">
        <v>10540.27</v>
      </c>
      <c r="J236" s="18">
        <v>686.49</v>
      </c>
      <c r="K236" s="18">
        <v>9024.2900000000009</v>
      </c>
      <c r="L236" s="19">
        <f>SUM(F236:K236)</f>
        <v>127369.17000000001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114618.67</v>
      </c>
      <c r="G238" s="18">
        <v>57457.609999999979</v>
      </c>
      <c r="H238" s="18">
        <v>29138.36</v>
      </c>
      <c r="I238" s="18">
        <v>3691.31</v>
      </c>
      <c r="J238" s="18">
        <v>209.77</v>
      </c>
      <c r="K238" s="18">
        <v>2807.66</v>
      </c>
      <c r="L238" s="19">
        <f t="shared" ref="L238:L244" si="4">SUM(F238:K238)</f>
        <v>207923.37999999995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42155.789999999994</v>
      </c>
      <c r="G239" s="18">
        <v>17425.520000000004</v>
      </c>
      <c r="H239" s="18">
        <v>4938.49</v>
      </c>
      <c r="I239" s="18">
        <v>3954.6400000000003</v>
      </c>
      <c r="J239" s="18">
        <v>10431.33</v>
      </c>
      <c r="K239" s="18">
        <v>0</v>
      </c>
      <c r="L239" s="19">
        <f t="shared" si="4"/>
        <v>78905.77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4695.9250903621769</v>
      </c>
      <c r="G240" s="18">
        <v>384.14212163112825</v>
      </c>
      <c r="H240" s="18">
        <v>150585.05383208406</v>
      </c>
      <c r="I240" s="18">
        <v>280.77383499502707</v>
      </c>
      <c r="J240" s="18">
        <v>0</v>
      </c>
      <c r="K240" s="18">
        <v>1891.109221551076</v>
      </c>
      <c r="L240" s="19">
        <f t="shared" si="4"/>
        <v>157837.00410062345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72469.86</v>
      </c>
      <c r="G241" s="18">
        <v>28651.45</v>
      </c>
      <c r="H241" s="18">
        <v>5635.58</v>
      </c>
      <c r="I241" s="18">
        <v>2060.21</v>
      </c>
      <c r="J241" s="18">
        <v>717.9</v>
      </c>
      <c r="K241" s="18">
        <v>5179.78</v>
      </c>
      <c r="L241" s="19">
        <f t="shared" si="4"/>
        <v>114714.78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68770.080000000002</v>
      </c>
      <c r="G243" s="18">
        <v>46928.670000000006</v>
      </c>
      <c r="H243" s="18">
        <v>27471.539999999997</v>
      </c>
      <c r="I243" s="18">
        <v>52338.54</v>
      </c>
      <c r="J243" s="18">
        <v>7154.24</v>
      </c>
      <c r="K243" s="18">
        <v>0</v>
      </c>
      <c r="L243" s="19">
        <f t="shared" si="4"/>
        <v>202663.07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65508.049999999988</v>
      </c>
      <c r="G244" s="18">
        <v>17432.399999999994</v>
      </c>
      <c r="H244" s="18">
        <v>24500.78</v>
      </c>
      <c r="I244" s="18">
        <v>14326.669999999998</v>
      </c>
      <c r="J244" s="18">
        <v>27956.25</v>
      </c>
      <c r="K244" s="18">
        <v>303.05</v>
      </c>
      <c r="L244" s="19">
        <f t="shared" si="4"/>
        <v>150027.19999999995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1251001.3350903625</v>
      </c>
      <c r="G247" s="41">
        <f t="shared" si="5"/>
        <v>547571.04212163121</v>
      </c>
      <c r="H247" s="41">
        <f t="shared" si="5"/>
        <v>440693.05383208406</v>
      </c>
      <c r="I247" s="41">
        <f t="shared" si="5"/>
        <v>133694.12383499503</v>
      </c>
      <c r="J247" s="41">
        <f t="shared" si="5"/>
        <v>72839.02</v>
      </c>
      <c r="K247" s="41">
        <f t="shared" si="5"/>
        <v>23042.299221551075</v>
      </c>
      <c r="L247" s="41">
        <f t="shared" si="5"/>
        <v>2468840.8741006227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3555641.1500000004</v>
      </c>
      <c r="G257" s="41">
        <f t="shared" si="8"/>
        <v>1741494.67</v>
      </c>
      <c r="H257" s="41">
        <f t="shared" si="8"/>
        <v>1448046.2400000002</v>
      </c>
      <c r="I257" s="41">
        <f t="shared" si="8"/>
        <v>328448.90000000002</v>
      </c>
      <c r="J257" s="41">
        <f t="shared" si="8"/>
        <v>197576.53000000003</v>
      </c>
      <c r="K257" s="41">
        <f t="shared" si="8"/>
        <v>44055.94</v>
      </c>
      <c r="L257" s="41">
        <f t="shared" si="8"/>
        <v>7315263.4299999997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140661</v>
      </c>
      <c r="L266" s="19">
        <f t="shared" si="9"/>
        <v>140661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140661</v>
      </c>
      <c r="L270" s="41">
        <f t="shared" si="9"/>
        <v>140661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3555641.1500000004</v>
      </c>
      <c r="G271" s="42">
        <f t="shared" si="11"/>
        <v>1741494.67</v>
      </c>
      <c r="H271" s="42">
        <f t="shared" si="11"/>
        <v>1448046.2400000002</v>
      </c>
      <c r="I271" s="42">
        <f t="shared" si="11"/>
        <v>328448.90000000002</v>
      </c>
      <c r="J271" s="42">
        <f t="shared" si="11"/>
        <v>197576.53000000003</v>
      </c>
      <c r="K271" s="42">
        <f t="shared" si="11"/>
        <v>184716.94</v>
      </c>
      <c r="L271" s="42">
        <f t="shared" si="11"/>
        <v>7455924.4299999997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57842.22</v>
      </c>
      <c r="G276" s="18">
        <v>22480.3</v>
      </c>
      <c r="H276" s="18"/>
      <c r="I276" s="18">
        <v>399.84</v>
      </c>
      <c r="J276" s="18">
        <v>3837</v>
      </c>
      <c r="K276" s="18"/>
      <c r="L276" s="19">
        <f>SUM(F276:K276)</f>
        <v>84559.360000000001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30907.47</v>
      </c>
      <c r="G277" s="18"/>
      <c r="H277" s="18">
        <v>600</v>
      </c>
      <c r="I277" s="18"/>
      <c r="J277" s="18"/>
      <c r="K277" s="18"/>
      <c r="L277" s="19">
        <f>SUM(F277:K277)</f>
        <v>31507.47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810.9</v>
      </c>
      <c r="G279" s="18">
        <v>191.87</v>
      </c>
      <c r="H279" s="18">
        <v>2000</v>
      </c>
      <c r="I279" s="18"/>
      <c r="J279" s="18"/>
      <c r="K279" s="18"/>
      <c r="L279" s="19">
        <f>SUM(F279:K279)</f>
        <v>3002.77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v>2896</v>
      </c>
      <c r="I281" s="18"/>
      <c r="J281" s="18"/>
      <c r="K281" s="18"/>
      <c r="L281" s="19">
        <f t="shared" ref="L281:L287" si="12">SUM(F281:K281)</f>
        <v>2896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1175</v>
      </c>
      <c r="G282" s="18">
        <v>95.18</v>
      </c>
      <c r="H282" s="18">
        <v>2183.64</v>
      </c>
      <c r="I282" s="18">
        <v>360.8</v>
      </c>
      <c r="J282" s="18">
        <v>4179.3900000000003</v>
      </c>
      <c r="K282" s="18">
        <v>0</v>
      </c>
      <c r="L282" s="19">
        <f t="shared" si="12"/>
        <v>7994.01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>
        <v>76.03</v>
      </c>
      <c r="I284" s="18"/>
      <c r="J284" s="18">
        <v>2631.34</v>
      </c>
      <c r="K284" s="18"/>
      <c r="L284" s="19">
        <f t="shared" si="12"/>
        <v>2707.3700000000003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>
        <v>1119.52</v>
      </c>
      <c r="J286" s="18"/>
      <c r="K286" s="18"/>
      <c r="L286" s="19">
        <f t="shared" si="12"/>
        <v>1119.52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90735.59</v>
      </c>
      <c r="G290" s="42">
        <f t="shared" si="13"/>
        <v>22767.35</v>
      </c>
      <c r="H290" s="42">
        <f t="shared" si="13"/>
        <v>7755.6699999999992</v>
      </c>
      <c r="I290" s="42">
        <f t="shared" si="13"/>
        <v>1880.1599999999999</v>
      </c>
      <c r="J290" s="42">
        <f t="shared" si="13"/>
        <v>10647.73</v>
      </c>
      <c r="K290" s="42">
        <f t="shared" si="13"/>
        <v>0</v>
      </c>
      <c r="L290" s="41">
        <f t="shared" si="13"/>
        <v>133786.5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>
        <v>956.98</v>
      </c>
      <c r="I295" s="18">
        <v>659.55</v>
      </c>
      <c r="J295" s="18">
        <v>12635.63</v>
      </c>
      <c r="K295" s="18"/>
      <c r="L295" s="19">
        <f>SUM(F295:K295)</f>
        <v>14252.16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30907.48</v>
      </c>
      <c r="G296" s="18"/>
      <c r="H296" s="18"/>
      <c r="I296" s="18"/>
      <c r="J296" s="18"/>
      <c r="K296" s="18"/>
      <c r="L296" s="19">
        <f>SUM(F296:K296)</f>
        <v>30907.48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v>12232.5</v>
      </c>
      <c r="G298" s="18">
        <v>975.18000000000006</v>
      </c>
      <c r="H298" s="18">
        <v>8088.84</v>
      </c>
      <c r="I298" s="18">
        <v>1270.47</v>
      </c>
      <c r="J298" s="18"/>
      <c r="K298" s="18">
        <v>3300</v>
      </c>
      <c r="L298" s="19">
        <f>SUM(F298:K298)</f>
        <v>25866.99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3005.92</v>
      </c>
      <c r="G301" s="18">
        <v>240.23</v>
      </c>
      <c r="H301" s="18">
        <v>941.89</v>
      </c>
      <c r="I301" s="18"/>
      <c r="J301" s="18">
        <v>2605.0099999999998</v>
      </c>
      <c r="K301" s="18">
        <v>1178</v>
      </c>
      <c r="L301" s="19">
        <f t="shared" si="14"/>
        <v>7971.0499999999993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>
        <v>47.2</v>
      </c>
      <c r="I303" s="18"/>
      <c r="J303" s="18">
        <v>1662.24</v>
      </c>
      <c r="K303" s="18"/>
      <c r="L303" s="19">
        <f t="shared" si="14"/>
        <v>1709.44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46145.899999999994</v>
      </c>
      <c r="G309" s="42">
        <f t="shared" si="15"/>
        <v>1215.4100000000001</v>
      </c>
      <c r="H309" s="42">
        <f t="shared" si="15"/>
        <v>10034.91</v>
      </c>
      <c r="I309" s="42">
        <f t="shared" si="15"/>
        <v>1930.02</v>
      </c>
      <c r="J309" s="42">
        <f t="shared" si="15"/>
        <v>16902.88</v>
      </c>
      <c r="K309" s="42">
        <f t="shared" si="15"/>
        <v>4478</v>
      </c>
      <c r="L309" s="41">
        <f t="shared" si="15"/>
        <v>80707.12000000001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>
        <v>3283.37</v>
      </c>
      <c r="I314" s="18">
        <v>4246.8999999999996</v>
      </c>
      <c r="J314" s="18">
        <v>35166.080000000002</v>
      </c>
      <c r="K314" s="18"/>
      <c r="L314" s="19">
        <f>SUM(F314:K314)</f>
        <v>42696.35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30907.47</v>
      </c>
      <c r="G315" s="18"/>
      <c r="H315" s="18">
        <v>1400</v>
      </c>
      <c r="I315" s="18"/>
      <c r="J315" s="18"/>
      <c r="K315" s="18"/>
      <c r="L315" s="19">
        <f>SUM(F315:K315)</f>
        <v>32307.47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66.84</v>
      </c>
      <c r="G317" s="18">
        <v>5.1100000000000003</v>
      </c>
      <c r="H317" s="18">
        <v>5004.16</v>
      </c>
      <c r="I317" s="18">
        <v>152.58000000000001</v>
      </c>
      <c r="J317" s="18"/>
      <c r="K317" s="18">
        <v>1016</v>
      </c>
      <c r="L317" s="19">
        <f>SUM(F317:K317)</f>
        <v>6244.69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7500</v>
      </c>
      <c r="G320" s="18">
        <v>606.09</v>
      </c>
      <c r="H320" s="18">
        <v>1221.6600000000001</v>
      </c>
      <c r="I320" s="18"/>
      <c r="J320" s="18">
        <v>3398.38</v>
      </c>
      <c r="K320" s="18"/>
      <c r="L320" s="19">
        <f t="shared" si="16"/>
        <v>12726.130000000001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>
        <v>55.36</v>
      </c>
      <c r="I322" s="18"/>
      <c r="J322" s="18">
        <v>1961.27</v>
      </c>
      <c r="K322" s="18"/>
      <c r="L322" s="19">
        <f t="shared" si="16"/>
        <v>2016.6299999999999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38474.31</v>
      </c>
      <c r="G328" s="42">
        <f t="shared" si="17"/>
        <v>611.20000000000005</v>
      </c>
      <c r="H328" s="42">
        <f t="shared" si="17"/>
        <v>10964.55</v>
      </c>
      <c r="I328" s="42">
        <f t="shared" si="17"/>
        <v>4399.4799999999996</v>
      </c>
      <c r="J328" s="42">
        <f t="shared" si="17"/>
        <v>40525.729999999996</v>
      </c>
      <c r="K328" s="42">
        <f t="shared" si="17"/>
        <v>1016</v>
      </c>
      <c r="L328" s="41">
        <f t="shared" si="17"/>
        <v>95991.270000000019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>
        <v>900</v>
      </c>
      <c r="G335" s="18">
        <v>70.739999999999995</v>
      </c>
      <c r="H335" s="18">
        <v>2000</v>
      </c>
      <c r="I335" s="18">
        <v>1571.48</v>
      </c>
      <c r="J335" s="18">
        <v>985.76</v>
      </c>
      <c r="K335" s="18"/>
      <c r="L335" s="19">
        <f t="shared" si="18"/>
        <v>5527.98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900</v>
      </c>
      <c r="G337" s="41">
        <f t="shared" si="19"/>
        <v>70.739999999999995</v>
      </c>
      <c r="H337" s="41">
        <f t="shared" si="19"/>
        <v>2000</v>
      </c>
      <c r="I337" s="41">
        <f t="shared" si="19"/>
        <v>1571.48</v>
      </c>
      <c r="J337" s="41">
        <f t="shared" si="19"/>
        <v>985.76</v>
      </c>
      <c r="K337" s="41">
        <f t="shared" si="19"/>
        <v>0</v>
      </c>
      <c r="L337" s="41">
        <f t="shared" si="18"/>
        <v>5527.98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176255.8</v>
      </c>
      <c r="G338" s="41">
        <f t="shared" si="20"/>
        <v>24664.7</v>
      </c>
      <c r="H338" s="41">
        <f t="shared" si="20"/>
        <v>30755.129999999997</v>
      </c>
      <c r="I338" s="41">
        <f t="shared" si="20"/>
        <v>9781.14</v>
      </c>
      <c r="J338" s="41">
        <f t="shared" si="20"/>
        <v>69062.099999999991</v>
      </c>
      <c r="K338" s="41">
        <f t="shared" si="20"/>
        <v>5494</v>
      </c>
      <c r="L338" s="41">
        <f t="shared" si="20"/>
        <v>316012.87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>
        <v>156775.71999999997</v>
      </c>
      <c r="L350" s="19">
        <f t="shared" si="21"/>
        <v>156775.71999999997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156775.71999999997</v>
      </c>
      <c r="L351" s="41">
        <f>SUM(L341:L350)</f>
        <v>156775.71999999997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176255.8</v>
      </c>
      <c r="G352" s="41">
        <f>G338</f>
        <v>24664.7</v>
      </c>
      <c r="H352" s="41">
        <f>H338</f>
        <v>30755.129999999997</v>
      </c>
      <c r="I352" s="41">
        <f>I338</f>
        <v>9781.14</v>
      </c>
      <c r="J352" s="41">
        <f>J338</f>
        <v>69062.099999999991</v>
      </c>
      <c r="K352" s="47">
        <f>K338+K351</f>
        <v>162269.71999999997</v>
      </c>
      <c r="L352" s="41">
        <f>L338+L351</f>
        <v>472788.58999999997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74552.974043616428</v>
      </c>
      <c r="I358" s="18">
        <v>6561.0204087523962</v>
      </c>
      <c r="J358" s="18"/>
      <c r="K358" s="18"/>
      <c r="L358" s="13">
        <f>SUM(F358:K358)</f>
        <v>81113.994452368817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>
        <v>49200.270383038594</v>
      </c>
      <c r="I359" s="18">
        <v>4329.8605084540186</v>
      </c>
      <c r="J359" s="18"/>
      <c r="K359" s="18"/>
      <c r="L359" s="19">
        <f>SUM(F359:K359)</f>
        <v>53530.130891492612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>
        <v>58735.755573344977</v>
      </c>
      <c r="I360" s="18">
        <v>5169.029082793586</v>
      </c>
      <c r="J360" s="18"/>
      <c r="K360" s="18"/>
      <c r="L360" s="19">
        <f>SUM(F360:K360)</f>
        <v>63904.784656138567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182489</v>
      </c>
      <c r="I362" s="47">
        <f t="shared" si="22"/>
        <v>16059.91</v>
      </c>
      <c r="J362" s="47">
        <f t="shared" si="22"/>
        <v>0</v>
      </c>
      <c r="K362" s="47">
        <f t="shared" si="22"/>
        <v>0</v>
      </c>
      <c r="L362" s="47">
        <f t="shared" si="22"/>
        <v>198548.91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6561.02</v>
      </c>
      <c r="G367" s="18">
        <v>4329.8599999999997</v>
      </c>
      <c r="H367" s="18">
        <v>5169.03</v>
      </c>
      <c r="I367" s="56">
        <f>SUM(F367:H367)</f>
        <v>16059.91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6561.02</v>
      </c>
      <c r="G369" s="47">
        <f>SUM(G367:G368)</f>
        <v>4329.8599999999997</v>
      </c>
      <c r="H369" s="47">
        <f>SUM(H367:H368)</f>
        <v>5169.03</v>
      </c>
      <c r="I369" s="47">
        <f>SUM(I367:I368)</f>
        <v>16059.91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>
        <v>130661</v>
      </c>
      <c r="H388" s="18">
        <v>4544.8599999999997</v>
      </c>
      <c r="I388" s="18"/>
      <c r="J388" s="24" t="s">
        <v>288</v>
      </c>
      <c r="K388" s="24" t="s">
        <v>288</v>
      </c>
      <c r="L388" s="56">
        <f t="shared" si="25"/>
        <v>135205.85999999999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>
        <v>0</v>
      </c>
      <c r="H390" s="18">
        <v>805.71</v>
      </c>
      <c r="I390" s="18"/>
      <c r="J390" s="24" t="s">
        <v>288</v>
      </c>
      <c r="K390" s="24" t="s">
        <v>288</v>
      </c>
      <c r="L390" s="56">
        <f t="shared" si="25"/>
        <v>805.71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130661</v>
      </c>
      <c r="H393" s="139">
        <f>SUM(H387:H392)</f>
        <v>5350.57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136011.56999999998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>
        <v>5000</v>
      </c>
      <c r="H398" s="18">
        <v>982.57</v>
      </c>
      <c r="I398" s="18"/>
      <c r="J398" s="24" t="s">
        <v>288</v>
      </c>
      <c r="K398" s="24" t="s">
        <v>288</v>
      </c>
      <c r="L398" s="56">
        <f t="shared" si="26"/>
        <v>5982.57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>
        <v>5000</v>
      </c>
      <c r="H399" s="18">
        <v>128.4</v>
      </c>
      <c r="I399" s="18"/>
      <c r="J399" s="24" t="s">
        <v>288</v>
      </c>
      <c r="K399" s="24" t="s">
        <v>288</v>
      </c>
      <c r="L399" s="56">
        <f t="shared" si="26"/>
        <v>5128.3999999999996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>
        <v>0</v>
      </c>
      <c r="H400" s="18">
        <v>559.01</v>
      </c>
      <c r="I400" s="18">
        <v>2660</v>
      </c>
      <c r="J400" s="24" t="s">
        <v>288</v>
      </c>
      <c r="K400" s="24" t="s">
        <v>288</v>
      </c>
      <c r="L400" s="56">
        <f t="shared" si="26"/>
        <v>3219.01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10000</v>
      </c>
      <c r="H401" s="47">
        <f>SUM(H395:H400)</f>
        <v>1669.98</v>
      </c>
      <c r="I401" s="47">
        <f>SUM(I395:I400)</f>
        <v>2660</v>
      </c>
      <c r="J401" s="45" t="s">
        <v>288</v>
      </c>
      <c r="K401" s="45" t="s">
        <v>288</v>
      </c>
      <c r="L401" s="47">
        <f>SUM(L395:L400)</f>
        <v>14329.98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140661</v>
      </c>
      <c r="H408" s="47">
        <f>H393+H401+H407</f>
        <v>7020.5499999999993</v>
      </c>
      <c r="I408" s="47">
        <f>I393+I401+I407</f>
        <v>2660</v>
      </c>
      <c r="J408" s="24" t="s">
        <v>288</v>
      </c>
      <c r="K408" s="24" t="s">
        <v>288</v>
      </c>
      <c r="L408" s="47">
        <f>L393+L401+L407</f>
        <v>150341.54999999999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>
        <v>146082.60999999999</v>
      </c>
      <c r="L414" s="56">
        <f t="shared" si="27"/>
        <v>146082.60999999999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>
        <v>40000</v>
      </c>
      <c r="L416" s="56">
        <f t="shared" si="27"/>
        <v>40000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186082.61</v>
      </c>
      <c r="L419" s="47">
        <f t="shared" si="28"/>
        <v>186082.61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>
        <v>14269.34</v>
      </c>
      <c r="L426" s="56">
        <f t="shared" si="29"/>
        <v>14269.34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14269.34</v>
      </c>
      <c r="L427" s="47">
        <f t="shared" si="30"/>
        <v>14269.34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200351.94999999998</v>
      </c>
      <c r="L434" s="47">
        <f t="shared" si="32"/>
        <v>200351.94999999998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723102.09</v>
      </c>
      <c r="G442" s="18">
        <v>252074.33</v>
      </c>
      <c r="H442" s="18"/>
      <c r="I442" s="56">
        <f t="shared" si="33"/>
        <v>975176.41999999993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723102.09</v>
      </c>
      <c r="G446" s="13">
        <f>SUM(G439:G445)</f>
        <v>252074.33</v>
      </c>
      <c r="H446" s="13">
        <f>SUM(H439:H445)</f>
        <v>0</v>
      </c>
      <c r="I446" s="13">
        <f>SUM(I439:I445)</f>
        <v>975176.41999999993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>
        <v>40000</v>
      </c>
      <c r="G449" s="18">
        <v>11823.34</v>
      </c>
      <c r="H449" s="18"/>
      <c r="I449" s="56">
        <f>SUM(F449:H449)</f>
        <v>51823.34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40000</v>
      </c>
      <c r="G452" s="72">
        <f>SUM(G448:G451)</f>
        <v>11823.34</v>
      </c>
      <c r="H452" s="72">
        <f>SUM(H448:H451)</f>
        <v>0</v>
      </c>
      <c r="I452" s="72">
        <f>SUM(I448:I451)</f>
        <v>51823.34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>
        <v>27633.200000000001</v>
      </c>
      <c r="H457" s="18"/>
      <c r="I457" s="56">
        <f t="shared" si="34"/>
        <v>27633.200000000001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>
        <v>454.5</v>
      </c>
      <c r="H458" s="18"/>
      <c r="I458" s="56">
        <f t="shared" si="34"/>
        <v>454.5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683102.09</v>
      </c>
      <c r="G459" s="18">
        <v>212163.29</v>
      </c>
      <c r="H459" s="18"/>
      <c r="I459" s="56">
        <f t="shared" si="34"/>
        <v>895265.38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683102.09</v>
      </c>
      <c r="G460" s="83">
        <f>SUM(G454:G459)</f>
        <v>240250.99000000002</v>
      </c>
      <c r="H460" s="83">
        <f>SUM(H454:H459)</f>
        <v>0</v>
      </c>
      <c r="I460" s="83">
        <f>SUM(I454:I459)</f>
        <v>923353.08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723102.09</v>
      </c>
      <c r="G461" s="42">
        <f>G452+G460</f>
        <v>252074.33000000002</v>
      </c>
      <c r="H461" s="42">
        <f>H452+H460</f>
        <v>0</v>
      </c>
      <c r="I461" s="42">
        <f>I452+I460</f>
        <v>975176.41999999993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582809.38</v>
      </c>
      <c r="G465" s="18">
        <v>14818.7</v>
      </c>
      <c r="H465" s="18">
        <v>0</v>
      </c>
      <c r="I465" s="18"/>
      <c r="J465" s="18">
        <v>973363.48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7294442.6100000003</v>
      </c>
      <c r="G468" s="18">
        <v>195756.66</v>
      </c>
      <c r="H468" s="18">
        <v>472788.59</v>
      </c>
      <c r="I468" s="18"/>
      <c r="J468" s="18">
        <v>150341.54999999999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7294442.6100000003</v>
      </c>
      <c r="G470" s="53">
        <f>SUM(G468:G469)</f>
        <v>195756.66</v>
      </c>
      <c r="H470" s="53">
        <f>SUM(H468:H469)</f>
        <v>472788.59</v>
      </c>
      <c r="I470" s="53">
        <f>SUM(I468:I469)</f>
        <v>0</v>
      </c>
      <c r="J470" s="53">
        <f>SUM(J468:J469)</f>
        <v>150341.54999999999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7455924.4299999997</v>
      </c>
      <c r="G472" s="18">
        <v>198548.91</v>
      </c>
      <c r="H472" s="18">
        <v>472788.59</v>
      </c>
      <c r="I472" s="18"/>
      <c r="J472" s="18">
        <v>200351.95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7455924.4299999997</v>
      </c>
      <c r="G474" s="53">
        <f>SUM(G472:G473)</f>
        <v>198548.91</v>
      </c>
      <c r="H474" s="53">
        <f>SUM(H472:H473)</f>
        <v>472788.59</v>
      </c>
      <c r="I474" s="53">
        <f>SUM(I472:I473)</f>
        <v>0</v>
      </c>
      <c r="J474" s="53">
        <f>SUM(J472:J473)</f>
        <v>200351.95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421327.56000000052</v>
      </c>
      <c r="G476" s="53">
        <f>(G465+G470)- G474</f>
        <v>12026.450000000012</v>
      </c>
      <c r="H476" s="53">
        <f>(H465+H470)- H474</f>
        <v>0</v>
      </c>
      <c r="I476" s="53">
        <f>(I465+I470)- I474</f>
        <v>0</v>
      </c>
      <c r="J476" s="53">
        <f>(J465+J470)- J474</f>
        <v>923353.08000000007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>
        <v>133583.29999999999</v>
      </c>
      <c r="G507" s="144">
        <v>0</v>
      </c>
      <c r="H507" s="144">
        <v>74579.240000000005</v>
      </c>
      <c r="I507" s="144">
        <f>F507+G507-H507</f>
        <v>59004.059999999983</v>
      </c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>
        <v>764750</v>
      </c>
      <c r="G511" s="24" t="s">
        <v>288</v>
      </c>
      <c r="H511" s="18">
        <v>764750</v>
      </c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>
        <v>8581496</v>
      </c>
      <c r="G513" s="24" t="s">
        <v>288</v>
      </c>
      <c r="H513" s="18">
        <v>8598103</v>
      </c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>
        <v>412033</v>
      </c>
      <c r="G514" s="24" t="s">
        <v>288</v>
      </c>
      <c r="H514" s="18">
        <v>459857</v>
      </c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>
        <v>20000</v>
      </c>
      <c r="G515" s="24" t="s">
        <v>288</v>
      </c>
      <c r="H515" s="18">
        <v>32840</v>
      </c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9778279</v>
      </c>
      <c r="G517" s="42">
        <f>SUM(G511:G516)</f>
        <v>0</v>
      </c>
      <c r="H517" s="42">
        <f>SUM(H511:H516)</f>
        <v>9855550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370918.31</v>
      </c>
      <c r="G521" s="18">
        <v>217837.52</v>
      </c>
      <c r="H521" s="18">
        <v>36556.370000000003</v>
      </c>
      <c r="I521" s="18">
        <v>2828.69</v>
      </c>
      <c r="J521" s="18"/>
      <c r="K521" s="18"/>
      <c r="L521" s="88">
        <f>SUM(F521:K521)</f>
        <v>628140.8899999999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203291.88</v>
      </c>
      <c r="G522" s="18">
        <v>96144.46</v>
      </c>
      <c r="H522" s="18">
        <v>293833.03000000003</v>
      </c>
      <c r="I522" s="18">
        <v>1621.92</v>
      </c>
      <c r="J522" s="18">
        <v>429</v>
      </c>
      <c r="K522" s="18">
        <v>65</v>
      </c>
      <c r="L522" s="88">
        <f>SUM(F522:K522)</f>
        <v>595385.29000000015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204162.11</v>
      </c>
      <c r="G523" s="18">
        <v>85135.55</v>
      </c>
      <c r="H523" s="18">
        <v>32767.02</v>
      </c>
      <c r="I523" s="18">
        <v>1613.77</v>
      </c>
      <c r="J523" s="18">
        <v>87.93</v>
      </c>
      <c r="K523" s="18"/>
      <c r="L523" s="88">
        <f>SUM(F523:K523)</f>
        <v>323766.38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778372.29999999993</v>
      </c>
      <c r="G524" s="108">
        <f t="shared" ref="G524:L524" si="36">SUM(G521:G523)</f>
        <v>399117.52999999997</v>
      </c>
      <c r="H524" s="108">
        <f t="shared" si="36"/>
        <v>363156.42000000004</v>
      </c>
      <c r="I524" s="108">
        <f t="shared" si="36"/>
        <v>6064.380000000001</v>
      </c>
      <c r="J524" s="108">
        <f t="shared" si="36"/>
        <v>516.93000000000006</v>
      </c>
      <c r="K524" s="108">
        <f t="shared" si="36"/>
        <v>65</v>
      </c>
      <c r="L524" s="89">
        <f t="shared" si="36"/>
        <v>1547292.56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51228.24</v>
      </c>
      <c r="G526" s="18">
        <v>27344</v>
      </c>
      <c r="H526" s="18">
        <v>164472.89000000001</v>
      </c>
      <c r="I526" s="18">
        <v>418.08</v>
      </c>
      <c r="J526" s="18"/>
      <c r="K526" s="18">
        <v>250</v>
      </c>
      <c r="L526" s="88">
        <f>SUM(F526:K526)</f>
        <v>243713.21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11783.68</v>
      </c>
      <c r="G527" s="18">
        <v>5336.44</v>
      </c>
      <c r="H527" s="18">
        <v>57767.96</v>
      </c>
      <c r="I527" s="18">
        <v>195</v>
      </c>
      <c r="J527" s="18"/>
      <c r="K527" s="18">
        <v>589</v>
      </c>
      <c r="L527" s="88">
        <f>SUM(F527:K527)</f>
        <v>75672.08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6477.8</v>
      </c>
      <c r="G528" s="18">
        <v>2104</v>
      </c>
      <c r="H528" s="18">
        <v>26541.919999999998</v>
      </c>
      <c r="I528" s="18">
        <v>195</v>
      </c>
      <c r="J528" s="18"/>
      <c r="K528" s="18"/>
      <c r="L528" s="88">
        <f>SUM(F528:K528)</f>
        <v>35318.720000000001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69489.72</v>
      </c>
      <c r="G529" s="89">
        <f t="shared" ref="G529:L529" si="37">SUM(G526:G528)</f>
        <v>34784.44</v>
      </c>
      <c r="H529" s="89">
        <f t="shared" si="37"/>
        <v>248782.77000000002</v>
      </c>
      <c r="I529" s="89">
        <f t="shared" si="37"/>
        <v>808.07999999999993</v>
      </c>
      <c r="J529" s="89">
        <f t="shared" si="37"/>
        <v>0</v>
      </c>
      <c r="K529" s="89">
        <f t="shared" si="37"/>
        <v>839</v>
      </c>
      <c r="L529" s="89">
        <f t="shared" si="37"/>
        <v>354704.01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43742.03</v>
      </c>
      <c r="I531" s="18"/>
      <c r="J531" s="18"/>
      <c r="K531" s="18"/>
      <c r="L531" s="88">
        <f>SUM(F531:K531)</f>
        <v>43742.03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>
        <v>27993.62</v>
      </c>
      <c r="I532" s="18"/>
      <c r="J532" s="18"/>
      <c r="K532" s="18"/>
      <c r="L532" s="88">
        <f>SUM(F532:K532)</f>
        <v>27993.62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v>20472.939999999999</v>
      </c>
      <c r="I533" s="18"/>
      <c r="J533" s="18"/>
      <c r="K533" s="18"/>
      <c r="L533" s="88">
        <f>SUM(F533:K533)</f>
        <v>20472.939999999999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92208.59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92208.59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3523.57</v>
      </c>
      <c r="G541" s="18">
        <v>406.14</v>
      </c>
      <c r="H541" s="18"/>
      <c r="I541" s="18">
        <v>872.68</v>
      </c>
      <c r="J541" s="18"/>
      <c r="K541" s="18"/>
      <c r="L541" s="88">
        <f>SUM(F541:K541)</f>
        <v>4802.3900000000003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349</v>
      </c>
      <c r="G542" s="18">
        <v>48.8</v>
      </c>
      <c r="H542" s="18">
        <v>4625</v>
      </c>
      <c r="I542" s="18">
        <v>110.65</v>
      </c>
      <c r="J542" s="18"/>
      <c r="K542" s="18"/>
      <c r="L542" s="88">
        <f>SUM(F542:K542)</f>
        <v>5133.45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11746.5</v>
      </c>
      <c r="G543" s="18">
        <v>1683.51</v>
      </c>
      <c r="H543" s="18">
        <v>8350</v>
      </c>
      <c r="I543" s="18">
        <v>2411.94</v>
      </c>
      <c r="J543" s="18"/>
      <c r="K543" s="18"/>
      <c r="L543" s="88">
        <f>SUM(F543:K543)</f>
        <v>24191.95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15619.07</v>
      </c>
      <c r="G544" s="193">
        <f t="shared" ref="G544:L544" si="40">SUM(G541:G543)</f>
        <v>2138.4499999999998</v>
      </c>
      <c r="H544" s="193">
        <f t="shared" si="40"/>
        <v>12975</v>
      </c>
      <c r="I544" s="193">
        <f t="shared" si="40"/>
        <v>3395.27</v>
      </c>
      <c r="J544" s="193">
        <f t="shared" si="40"/>
        <v>0</v>
      </c>
      <c r="K544" s="193">
        <f t="shared" si="40"/>
        <v>0</v>
      </c>
      <c r="L544" s="193">
        <f t="shared" si="40"/>
        <v>34127.79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863481.08999999985</v>
      </c>
      <c r="G545" s="89">
        <f t="shared" ref="G545:L545" si="41">G524+G529+G534+G539+G544</f>
        <v>436040.42</v>
      </c>
      <c r="H545" s="89">
        <f t="shared" si="41"/>
        <v>717122.78</v>
      </c>
      <c r="I545" s="89">
        <f t="shared" si="41"/>
        <v>10267.730000000001</v>
      </c>
      <c r="J545" s="89">
        <f t="shared" si="41"/>
        <v>516.93000000000006</v>
      </c>
      <c r="K545" s="89">
        <f t="shared" si="41"/>
        <v>904</v>
      </c>
      <c r="L545" s="89">
        <f t="shared" si="41"/>
        <v>2028332.9500000002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628140.8899999999</v>
      </c>
      <c r="G549" s="87">
        <f>L526</f>
        <v>243713.21</v>
      </c>
      <c r="H549" s="87">
        <f>L531</f>
        <v>43742.03</v>
      </c>
      <c r="I549" s="87">
        <f>L536</f>
        <v>0</v>
      </c>
      <c r="J549" s="87">
        <f>L541</f>
        <v>4802.3900000000003</v>
      </c>
      <c r="K549" s="87">
        <f>SUM(F549:J549)</f>
        <v>920398.5199999999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595385.29000000015</v>
      </c>
      <c r="G550" s="87">
        <f>L527</f>
        <v>75672.08</v>
      </c>
      <c r="H550" s="87">
        <f>L532</f>
        <v>27993.62</v>
      </c>
      <c r="I550" s="87">
        <f>L537</f>
        <v>0</v>
      </c>
      <c r="J550" s="87">
        <f>L542</f>
        <v>5133.45</v>
      </c>
      <c r="K550" s="87">
        <f>SUM(F550:J550)</f>
        <v>704184.44000000006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323766.38</v>
      </c>
      <c r="G551" s="87">
        <f>L528</f>
        <v>35318.720000000001</v>
      </c>
      <c r="H551" s="87">
        <f>L533</f>
        <v>20472.939999999999</v>
      </c>
      <c r="I551" s="87">
        <f>L538</f>
        <v>0</v>
      </c>
      <c r="J551" s="87">
        <f>L543</f>
        <v>24191.95</v>
      </c>
      <c r="K551" s="87">
        <f>SUM(F551:J551)</f>
        <v>403749.99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1547292.56</v>
      </c>
      <c r="G552" s="89">
        <f t="shared" si="42"/>
        <v>354704.01</v>
      </c>
      <c r="H552" s="89">
        <f t="shared" si="42"/>
        <v>92208.59</v>
      </c>
      <c r="I552" s="89">
        <f t="shared" si="42"/>
        <v>0</v>
      </c>
      <c r="J552" s="89">
        <f t="shared" si="42"/>
        <v>34127.79</v>
      </c>
      <c r="K552" s="89">
        <f t="shared" si="42"/>
        <v>2028332.95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23437.66</v>
      </c>
      <c r="G564" s="18">
        <v>12638.68</v>
      </c>
      <c r="H564" s="18"/>
      <c r="I564" s="18"/>
      <c r="J564" s="18"/>
      <c r="K564" s="18"/>
      <c r="L564" s="88">
        <f>SUM(F564:K564)</f>
        <v>36076.339999999997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23437.66</v>
      </c>
      <c r="G565" s="89">
        <f t="shared" si="44"/>
        <v>12638.68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36076.339999999997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23437.66</v>
      </c>
      <c r="G571" s="89">
        <f t="shared" ref="G571:L571" si="46">G560+G565+G570</f>
        <v>12638.68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36076.339999999997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9056.25</v>
      </c>
      <c r="I575" s="87">
        <f>SUM(F575:H575)</f>
        <v>9056.25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>
        <v>27966.27</v>
      </c>
      <c r="G578" s="18"/>
      <c r="H578" s="18"/>
      <c r="I578" s="87">
        <f t="shared" si="47"/>
        <v>27966.27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>
        <v>83097.149999999994</v>
      </c>
      <c r="H582" s="18">
        <v>13158.25</v>
      </c>
      <c r="I582" s="87">
        <f t="shared" si="47"/>
        <v>96255.4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>
        <v>126756.88</v>
      </c>
      <c r="H583" s="18"/>
      <c r="I583" s="87">
        <f t="shared" si="47"/>
        <v>126756.88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>
        <v>7478.84</v>
      </c>
      <c r="H584" s="18">
        <v>71955.44</v>
      </c>
      <c r="I584" s="87">
        <f t="shared" si="47"/>
        <v>79434.28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100932.34</v>
      </c>
      <c r="I591" s="18">
        <v>64034.28</v>
      </c>
      <c r="J591" s="18">
        <v>87048.6</v>
      </c>
      <c r="K591" s="104">
        <f t="shared" ref="K591:K597" si="48">SUM(H591:J591)</f>
        <v>252015.22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4802.3900000000003</v>
      </c>
      <c r="I592" s="18">
        <v>5133.63</v>
      </c>
      <c r="J592" s="18">
        <v>24191.95</v>
      </c>
      <c r="K592" s="104">
        <f t="shared" si="48"/>
        <v>34127.97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22828.49</v>
      </c>
      <c r="K593" s="104">
        <f t="shared" si="48"/>
        <v>22828.49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3263.15</v>
      </c>
      <c r="J594" s="18">
        <v>10580.53</v>
      </c>
      <c r="K594" s="104">
        <f t="shared" si="48"/>
        <v>13843.68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3019.99</v>
      </c>
      <c r="I595" s="18">
        <v>5155.29</v>
      </c>
      <c r="J595" s="18">
        <v>5377.63</v>
      </c>
      <c r="K595" s="104">
        <f t="shared" si="48"/>
        <v>13552.91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>
        <v>4373.63</v>
      </c>
      <c r="I596" s="18"/>
      <c r="J596" s="18"/>
      <c r="K596" s="104">
        <f t="shared" si="48"/>
        <v>4373.63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113128.35</v>
      </c>
      <c r="I598" s="108">
        <f>SUM(I591:I597)</f>
        <v>77586.349999999991</v>
      </c>
      <c r="J598" s="108">
        <f>SUM(J591:J597)</f>
        <v>150027.20000000001</v>
      </c>
      <c r="K598" s="108">
        <f>SUM(K591:K597)</f>
        <v>340741.89999999997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85116.53</v>
      </c>
      <c r="I604" s="18">
        <v>68157.350000000006</v>
      </c>
      <c r="J604" s="18">
        <v>113364.75</v>
      </c>
      <c r="K604" s="104">
        <f>SUM(H604:J604)</f>
        <v>266638.63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85116.53</v>
      </c>
      <c r="I605" s="108">
        <f>SUM(I602:I604)</f>
        <v>68157.350000000006</v>
      </c>
      <c r="J605" s="108">
        <f>SUM(J602:J604)</f>
        <v>113364.75</v>
      </c>
      <c r="K605" s="108">
        <f>SUM(K602:K604)</f>
        <v>266638.63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3834.88</v>
      </c>
      <c r="G611" s="18">
        <v>580.32000000000005</v>
      </c>
      <c r="H611" s="18">
        <v>1298.93</v>
      </c>
      <c r="I611" s="18"/>
      <c r="J611" s="18"/>
      <c r="K611" s="18"/>
      <c r="L611" s="88">
        <f>SUM(F611:K611)</f>
        <v>5714.13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7119.76</v>
      </c>
      <c r="G612" s="18">
        <v>1498.79</v>
      </c>
      <c r="H612" s="18">
        <v>17834.64</v>
      </c>
      <c r="I612" s="18"/>
      <c r="J612" s="18"/>
      <c r="K612" s="18">
        <v>65</v>
      </c>
      <c r="L612" s="88">
        <f>SUM(F612:K612)</f>
        <v>26518.19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4783.4799999999996</v>
      </c>
      <c r="G613" s="18">
        <v>685.06</v>
      </c>
      <c r="H613" s="18">
        <v>1754.2</v>
      </c>
      <c r="I613" s="18"/>
      <c r="J613" s="18"/>
      <c r="K613" s="18"/>
      <c r="L613" s="88">
        <f>SUM(F613:K613)</f>
        <v>7222.7399999999989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15738.119999999999</v>
      </c>
      <c r="G614" s="108">
        <f t="shared" si="49"/>
        <v>2764.17</v>
      </c>
      <c r="H614" s="108">
        <f t="shared" si="49"/>
        <v>20887.77</v>
      </c>
      <c r="I614" s="108">
        <f t="shared" si="49"/>
        <v>0</v>
      </c>
      <c r="J614" s="108">
        <f t="shared" si="49"/>
        <v>0</v>
      </c>
      <c r="K614" s="108">
        <f t="shared" si="49"/>
        <v>65</v>
      </c>
      <c r="L614" s="89">
        <f t="shared" si="49"/>
        <v>39455.06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533493.48</v>
      </c>
      <c r="H617" s="109">
        <f>SUM(F52)</f>
        <v>533493.48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16398.349999999999</v>
      </c>
      <c r="H618" s="109">
        <f>SUM(G52)</f>
        <v>16398.349999999999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40419.449999999997</v>
      </c>
      <c r="H619" s="109">
        <f>SUM(H52)</f>
        <v>40419.449999999997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975176.41999999993</v>
      </c>
      <c r="H621" s="109">
        <f>SUM(J52)</f>
        <v>975176.41999999993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421327.56</v>
      </c>
      <c r="H622" s="109">
        <f>F476</f>
        <v>421327.56000000052</v>
      </c>
      <c r="I622" s="121" t="s">
        <v>101</v>
      </c>
      <c r="J622" s="109">
        <f t="shared" ref="J622:J655" si="50">G622-H622</f>
        <v>-5.2386894822120667E-10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12026.45</v>
      </c>
      <c r="H623" s="109">
        <f>G476</f>
        <v>12026.450000000012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923353.08</v>
      </c>
      <c r="H626" s="109">
        <f>J476</f>
        <v>923353.08000000007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7294442.6100000003</v>
      </c>
      <c r="H627" s="104">
        <f>SUM(F468)</f>
        <v>7294442.6100000003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195756.65999999997</v>
      </c>
      <c r="H628" s="104">
        <f>SUM(G468)</f>
        <v>195756.66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472788.58999999997</v>
      </c>
      <c r="H629" s="104">
        <f>SUM(H468)</f>
        <v>472788.59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150341.54999999999</v>
      </c>
      <c r="H631" s="104">
        <f>SUM(J468)</f>
        <v>150341.54999999999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7455924.4299999997</v>
      </c>
      <c r="H632" s="104">
        <f>SUM(F472)</f>
        <v>7455924.4299999997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472788.58999999997</v>
      </c>
      <c r="H633" s="104">
        <f>SUM(H472)</f>
        <v>472788.59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16059.91</v>
      </c>
      <c r="H634" s="104">
        <f>I369</f>
        <v>16059.91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198548.91</v>
      </c>
      <c r="H635" s="104">
        <f>SUM(G472)</f>
        <v>198548.91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150341.54999999999</v>
      </c>
      <c r="H637" s="164">
        <f>SUM(J468)</f>
        <v>150341.54999999999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200351.94999999998</v>
      </c>
      <c r="H638" s="164">
        <f>SUM(J472)</f>
        <v>200351.95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723102.09</v>
      </c>
      <c r="H639" s="104">
        <f>SUM(F461)</f>
        <v>723102.09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252074.33</v>
      </c>
      <c r="H640" s="104">
        <f>SUM(G461)</f>
        <v>252074.33000000002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975176.41999999993</v>
      </c>
      <c r="H642" s="104">
        <f>SUM(I461)</f>
        <v>975176.41999999993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7020.55</v>
      </c>
      <c r="H644" s="104">
        <f>H408</f>
        <v>7020.5499999999993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140661</v>
      </c>
      <c r="H645" s="104">
        <f>G408</f>
        <v>140661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150341.54999999999</v>
      </c>
      <c r="H646" s="104">
        <f>L408</f>
        <v>150341.54999999999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340741.89999999997</v>
      </c>
      <c r="H647" s="104">
        <f>L208+L226+L244</f>
        <v>340741.89999999997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266638.63</v>
      </c>
      <c r="H648" s="104">
        <f>(J257+J338)-(J255+J336)</f>
        <v>266638.63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113128.35</v>
      </c>
      <c r="H649" s="104">
        <f>H598</f>
        <v>113128.35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77586.349999999991</v>
      </c>
      <c r="H650" s="104">
        <f>I598</f>
        <v>77586.349999999991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150027.19999999995</v>
      </c>
      <c r="H651" s="104">
        <f>J598</f>
        <v>150027.20000000001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140661</v>
      </c>
      <c r="H655" s="104">
        <f>K266+K347</f>
        <v>140661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3038754.07248211</v>
      </c>
      <c r="G660" s="19">
        <f>(L229+L309+L359)</f>
        <v>2156806.2287611286</v>
      </c>
      <c r="H660" s="19">
        <f>(L247+L328+L360)</f>
        <v>2628736.9287567614</v>
      </c>
      <c r="I660" s="19">
        <f>SUM(F660:H660)</f>
        <v>7824297.2299999995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42384.584605196127</v>
      </c>
      <c r="G661" s="19">
        <f>(L359/IF(SUM(L358:L360)=0,1,SUM(L358:L360))*(SUM(G97:G110)))</f>
        <v>27971.158084564442</v>
      </c>
      <c r="H661" s="19">
        <f>(L360/IF(SUM(L358:L360)=0,1,SUM(L358:L360))*(SUM(G97:G110)))</f>
        <v>33392.237310239427</v>
      </c>
      <c r="I661" s="19">
        <f>SUM(F661:H661)</f>
        <v>103747.98000000001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80201.100000000006</v>
      </c>
      <c r="G662" s="19">
        <f>(L226+L306)-(J226+J306)</f>
        <v>56194.849999999991</v>
      </c>
      <c r="H662" s="19">
        <f>(L244+L325)-(J244+J325)</f>
        <v>122070.94999999995</v>
      </c>
      <c r="I662" s="19">
        <f>SUM(F662:H662)</f>
        <v>258466.89999999997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118796.93000000001</v>
      </c>
      <c r="G663" s="199">
        <f>SUM(G575:G587)+SUM(I602:I604)+L612</f>
        <v>312008.40999999997</v>
      </c>
      <c r="H663" s="199">
        <f>SUM(H575:H587)+SUM(J602:J604)+L613</f>
        <v>214757.43</v>
      </c>
      <c r="I663" s="19">
        <f>SUM(F663:H663)</f>
        <v>645562.77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2797371.4578769137</v>
      </c>
      <c r="G664" s="19">
        <f>G660-SUM(G661:G663)</f>
        <v>1760631.8106765642</v>
      </c>
      <c r="H664" s="19">
        <f>H660-SUM(H661:H663)</f>
        <v>2258516.3114465219</v>
      </c>
      <c r="I664" s="19">
        <f>I660-SUM(I661:I663)</f>
        <v>6816519.5799999991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168.41</v>
      </c>
      <c r="G665" s="248">
        <v>111.14</v>
      </c>
      <c r="H665" s="248">
        <v>132.68</v>
      </c>
      <c r="I665" s="19">
        <f>SUM(F665:H665)</f>
        <v>412.23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16610.48</v>
      </c>
      <c r="G667" s="19">
        <f>ROUND(G664/G665,2)</f>
        <v>15841.57</v>
      </c>
      <c r="H667" s="19">
        <f>ROUND(H664/H665,2)</f>
        <v>17022.28</v>
      </c>
      <c r="I667" s="19">
        <f>ROUND(I664/I665,2)</f>
        <v>16535.72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-7</v>
      </c>
      <c r="I670" s="19">
        <f>SUM(F670:H670)</f>
        <v>-7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16610.48</v>
      </c>
      <c r="G672" s="19">
        <f>ROUND((G664+G669)/(G665+G670),2)</f>
        <v>15841.57</v>
      </c>
      <c r="H672" s="19">
        <f>ROUND((H664+H669)/(H665+H670),2)</f>
        <v>17970.37</v>
      </c>
      <c r="I672" s="19">
        <f>ROUND((I664+I669)/(I665+I670),2)</f>
        <v>16821.36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GRS Cooperative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1742860.27</v>
      </c>
      <c r="C9" s="229">
        <f>'DOE25'!G197+'DOE25'!G215+'DOE25'!G233+'DOE25'!G276+'DOE25'!G295+'DOE25'!G314</f>
        <v>803528.52</v>
      </c>
    </row>
    <row r="10" spans="1:3" x14ac:dyDescent="0.2">
      <c r="A10" t="s">
        <v>778</v>
      </c>
      <c r="B10" s="240">
        <v>1666211.55</v>
      </c>
      <c r="C10" s="240">
        <v>758983.27</v>
      </c>
    </row>
    <row r="11" spans="1:3" x14ac:dyDescent="0.2">
      <c r="A11" t="s">
        <v>779</v>
      </c>
      <c r="B11" s="240">
        <v>14596.72</v>
      </c>
      <c r="C11" s="240">
        <v>35108.51</v>
      </c>
    </row>
    <row r="12" spans="1:3" x14ac:dyDescent="0.2">
      <c r="A12" t="s">
        <v>780</v>
      </c>
      <c r="B12" s="240">
        <v>62052</v>
      </c>
      <c r="C12" s="240">
        <v>9436.74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1742860.27</v>
      </c>
      <c r="C13" s="231">
        <f>SUM(C10:C12)</f>
        <v>803528.52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787926.64999999991</v>
      </c>
      <c r="C18" s="229">
        <f>'DOE25'!G198+'DOE25'!G216+'DOE25'!G234+'DOE25'!G277+'DOE25'!G296+'DOE25'!G315</f>
        <v>409733.87</v>
      </c>
    </row>
    <row r="19" spans="1:3" x14ac:dyDescent="0.2">
      <c r="A19" t="s">
        <v>778</v>
      </c>
      <c r="B19" s="240">
        <v>310930.92</v>
      </c>
      <c r="C19" s="240">
        <v>201929.79</v>
      </c>
    </row>
    <row r="20" spans="1:3" x14ac:dyDescent="0.2">
      <c r="A20" t="s">
        <v>779</v>
      </c>
      <c r="B20" s="240">
        <v>448795.47</v>
      </c>
      <c r="C20" s="240">
        <v>205677.44</v>
      </c>
    </row>
    <row r="21" spans="1:3" x14ac:dyDescent="0.2">
      <c r="A21" t="s">
        <v>780</v>
      </c>
      <c r="B21" s="240">
        <v>28200.26</v>
      </c>
      <c r="C21" s="240">
        <v>2126.64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787926.64999999991</v>
      </c>
      <c r="C22" s="231">
        <f>SUM(C19:C21)</f>
        <v>409733.87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123153.8</v>
      </c>
      <c r="C36" s="235">
        <f>'DOE25'!G200+'DOE25'!G218+'DOE25'!G236+'DOE25'!G279+'DOE25'!G298+'DOE25'!G317</f>
        <v>19856.240000000002</v>
      </c>
    </row>
    <row r="37" spans="1:3" x14ac:dyDescent="0.2">
      <c r="A37" t="s">
        <v>778</v>
      </c>
      <c r="B37" s="240">
        <v>113215.81</v>
      </c>
      <c r="C37" s="240">
        <v>18721.96</v>
      </c>
    </row>
    <row r="38" spans="1:3" x14ac:dyDescent="0.2">
      <c r="A38" t="s">
        <v>779</v>
      </c>
      <c r="B38" s="240">
        <v>8904.99</v>
      </c>
      <c r="C38" s="240">
        <v>913.85</v>
      </c>
    </row>
    <row r="39" spans="1:3" x14ac:dyDescent="0.2">
      <c r="A39" t="s">
        <v>780</v>
      </c>
      <c r="B39" s="240">
        <v>1033</v>
      </c>
      <c r="C39" s="240">
        <v>220.43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123153.8</v>
      </c>
      <c r="C40" s="231">
        <f>SUM(C37:C39)</f>
        <v>19856.239999999998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GRS Cooperative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4463077.8599999994</v>
      </c>
      <c r="D5" s="20">
        <f>SUM('DOE25'!L197:L200)+SUM('DOE25'!L215:L218)+SUM('DOE25'!L233:L236)-F5-G5</f>
        <v>4372383.4099999992</v>
      </c>
      <c r="E5" s="243"/>
      <c r="F5" s="255">
        <f>SUM('DOE25'!J197:J200)+SUM('DOE25'!J215:J218)+SUM('DOE25'!J233:J236)</f>
        <v>69440.25</v>
      </c>
      <c r="G5" s="53">
        <f>SUM('DOE25'!K197:K200)+SUM('DOE25'!K215:K218)+SUM('DOE25'!K233:K236)</f>
        <v>21254.2</v>
      </c>
      <c r="H5" s="259"/>
    </row>
    <row r="6" spans="1:9" x14ac:dyDescent="0.2">
      <c r="A6" s="32">
        <v>2100</v>
      </c>
      <c r="B6" t="s">
        <v>800</v>
      </c>
      <c r="C6" s="245">
        <f t="shared" si="0"/>
        <v>831714.02</v>
      </c>
      <c r="D6" s="20">
        <f>'DOE25'!L202+'DOE25'!L220+'DOE25'!L238-F6-G6</f>
        <v>827635.07</v>
      </c>
      <c r="E6" s="243"/>
      <c r="F6" s="255">
        <f>'DOE25'!J202+'DOE25'!J220+'DOE25'!J238</f>
        <v>209.77</v>
      </c>
      <c r="G6" s="53">
        <f>'DOE25'!K202+'DOE25'!K220+'DOE25'!K238</f>
        <v>3869.18</v>
      </c>
      <c r="H6" s="259"/>
    </row>
    <row r="7" spans="1:9" x14ac:dyDescent="0.2">
      <c r="A7" s="32">
        <v>2200</v>
      </c>
      <c r="B7" t="s">
        <v>833</v>
      </c>
      <c r="C7" s="245">
        <f t="shared" si="0"/>
        <v>247662.93</v>
      </c>
      <c r="D7" s="20">
        <f>'DOE25'!L203+'DOE25'!L221+'DOE25'!L239-F7-G7</f>
        <v>216421.69999999998</v>
      </c>
      <c r="E7" s="243"/>
      <c r="F7" s="255">
        <f>'DOE25'!J203+'DOE25'!J221+'DOE25'!J239</f>
        <v>29216.230000000003</v>
      </c>
      <c r="G7" s="53">
        <f>'DOE25'!K203+'DOE25'!K221+'DOE25'!K239</f>
        <v>2025</v>
      </c>
      <c r="H7" s="259"/>
    </row>
    <row r="8" spans="1:9" x14ac:dyDescent="0.2">
      <c r="A8" s="32">
        <v>2300</v>
      </c>
      <c r="B8" t="s">
        <v>801</v>
      </c>
      <c r="C8" s="245">
        <f t="shared" si="0"/>
        <v>367315.3</v>
      </c>
      <c r="D8" s="243"/>
      <c r="E8" s="20">
        <f>'DOE25'!L204+'DOE25'!L222+'DOE25'!L240-F8-G8-D9-D11</f>
        <v>361439.72</v>
      </c>
      <c r="F8" s="255">
        <f>'DOE25'!J204+'DOE25'!J222+'DOE25'!J240</f>
        <v>0</v>
      </c>
      <c r="G8" s="53">
        <f>'DOE25'!K204+'DOE25'!K222+'DOE25'!K240</f>
        <v>5875.5800000000008</v>
      </c>
      <c r="H8" s="259"/>
    </row>
    <row r="9" spans="1:9" x14ac:dyDescent="0.2">
      <c r="A9" s="32">
        <v>2310</v>
      </c>
      <c r="B9" t="s">
        <v>817</v>
      </c>
      <c r="C9" s="245">
        <f t="shared" si="0"/>
        <v>28297.58</v>
      </c>
      <c r="D9" s="244">
        <v>28297.58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7155.61</v>
      </c>
      <c r="D10" s="243"/>
      <c r="E10" s="244">
        <v>7155.61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94778.65</v>
      </c>
      <c r="D11" s="244">
        <v>94778.65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364799.95999999996</v>
      </c>
      <c r="D12" s="20">
        <f>'DOE25'!L205+'DOE25'!L223+'DOE25'!L241-F12-G12</f>
        <v>352517.23</v>
      </c>
      <c r="E12" s="243"/>
      <c r="F12" s="255">
        <f>'DOE25'!J205+'DOE25'!J223+'DOE25'!J241</f>
        <v>2155.75</v>
      </c>
      <c r="G12" s="53">
        <f>'DOE25'!K205+'DOE25'!K223+'DOE25'!K241</f>
        <v>10126.98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576875.23</v>
      </c>
      <c r="D14" s="20">
        <f>'DOE25'!L207+'DOE25'!L225+'DOE25'!L243-F14-G14</f>
        <v>562595.69999999995</v>
      </c>
      <c r="E14" s="243"/>
      <c r="F14" s="255">
        <f>'DOE25'!J207+'DOE25'!J225+'DOE25'!J243</f>
        <v>14279.529999999999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340741.89999999997</v>
      </c>
      <c r="D15" s="20">
        <f>'DOE25'!L208+'DOE25'!L226+'DOE25'!L244-F15-G15</f>
        <v>257561.89999999997</v>
      </c>
      <c r="E15" s="243"/>
      <c r="F15" s="255">
        <f>'DOE25'!J208+'DOE25'!J226+'DOE25'!J244</f>
        <v>82275</v>
      </c>
      <c r="G15" s="53">
        <f>'DOE25'!K208+'DOE25'!K226+'DOE25'!K244</f>
        <v>905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182489</v>
      </c>
      <c r="D29" s="20">
        <f>'DOE25'!L358+'DOE25'!L359+'DOE25'!L360-'DOE25'!I367-F29-G29</f>
        <v>182489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316012.87</v>
      </c>
      <c r="D31" s="20">
        <f>'DOE25'!L290+'DOE25'!L309+'DOE25'!L328+'DOE25'!L333+'DOE25'!L334+'DOE25'!L335-F31-G31</f>
        <v>241456.77000000002</v>
      </c>
      <c r="E31" s="243"/>
      <c r="F31" s="255">
        <f>'DOE25'!J290+'DOE25'!J309+'DOE25'!J328+'DOE25'!J333+'DOE25'!J334+'DOE25'!J335</f>
        <v>69062.099999999991</v>
      </c>
      <c r="G31" s="53">
        <f>'DOE25'!K290+'DOE25'!K309+'DOE25'!K328+'DOE25'!K333+'DOE25'!K334+'DOE25'!K335</f>
        <v>5494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7136137.0100000016</v>
      </c>
      <c r="E33" s="246">
        <f>SUM(E5:E31)</f>
        <v>368595.32999999996</v>
      </c>
      <c r="F33" s="246">
        <f>SUM(F5:F31)</f>
        <v>266638.63</v>
      </c>
      <c r="G33" s="246">
        <f>SUM(G5:G31)</f>
        <v>49549.94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368595.32999999996</v>
      </c>
      <c r="E35" s="249"/>
    </row>
    <row r="36" spans="2:8" ht="12" thickTop="1" x14ac:dyDescent="0.2">
      <c r="B36" t="s">
        <v>814</v>
      </c>
      <c r="D36" s="20">
        <f>D33</f>
        <v>7136137.0100000016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81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GRS Cooperative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45703.67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367202.47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32070.5</v>
      </c>
      <c r="D11" s="95">
        <f>'DOE25'!G12</f>
        <v>0</v>
      </c>
      <c r="E11" s="95">
        <f>'DOE25'!H12</f>
        <v>7608.57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55145.25</v>
      </c>
      <c r="D12" s="95">
        <f>'DOE25'!G13</f>
        <v>3504.85</v>
      </c>
      <c r="E12" s="95">
        <f>'DOE25'!H13</f>
        <v>32810.879999999997</v>
      </c>
      <c r="F12" s="95">
        <f>'DOE25'!I13</f>
        <v>0</v>
      </c>
      <c r="G12" s="95">
        <f>'DOE25'!J13</f>
        <v>975176.41999999993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531.59</v>
      </c>
      <c r="D13" s="95">
        <f>'DOE25'!G14</f>
        <v>12893.5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32840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533493.48</v>
      </c>
      <c r="D18" s="41">
        <f>SUM(D8:D17)</f>
        <v>16398.349999999999</v>
      </c>
      <c r="E18" s="41">
        <f>SUM(E8:E17)</f>
        <v>40419.449999999997</v>
      </c>
      <c r="F18" s="41">
        <f>SUM(F8:F17)</f>
        <v>0</v>
      </c>
      <c r="G18" s="41">
        <f>SUM(G8:G17)</f>
        <v>975176.41999999993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4371.8999999999996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2241.9299999999998</v>
      </c>
      <c r="F22" s="95">
        <f>'DOE25'!I23</f>
        <v>0</v>
      </c>
      <c r="G22" s="95">
        <f>'DOE25'!J23</f>
        <v>51823.34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53003.72</v>
      </c>
      <c r="D23" s="95">
        <f>'DOE25'!G24</f>
        <v>0</v>
      </c>
      <c r="E23" s="95">
        <f>'DOE25'!H24</f>
        <v>16.75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59162.2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38160.769999999997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112165.92</v>
      </c>
      <c r="D31" s="41">
        <f>SUM(D21:D30)</f>
        <v>4371.8999999999996</v>
      </c>
      <c r="E31" s="41">
        <f>SUM(E21:E30)</f>
        <v>40419.449999999997</v>
      </c>
      <c r="F31" s="41">
        <f>SUM(F21:F30)</f>
        <v>0</v>
      </c>
      <c r="G31" s="41">
        <f>SUM(G21:G30)</f>
        <v>51823.34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27633.200000000001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454.5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12026.45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895265.38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416327.56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421327.56</v>
      </c>
      <c r="D50" s="41">
        <f>SUM(D34:D49)</f>
        <v>12026.45</v>
      </c>
      <c r="E50" s="41">
        <f>SUM(E34:E49)</f>
        <v>0</v>
      </c>
      <c r="F50" s="41">
        <f>SUM(F34:F49)</f>
        <v>0</v>
      </c>
      <c r="G50" s="41">
        <f>SUM(G34:G49)</f>
        <v>923353.08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533493.48</v>
      </c>
      <c r="D51" s="41">
        <f>D50+D31</f>
        <v>16398.349999999999</v>
      </c>
      <c r="E51" s="41">
        <f>E50+E31</f>
        <v>40419.449999999997</v>
      </c>
      <c r="F51" s="41">
        <f>F50+F31</f>
        <v>0</v>
      </c>
      <c r="G51" s="41">
        <f>G50+G31</f>
        <v>975176.41999999993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4108899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100584.45</v>
      </c>
      <c r="D57" s="24" t="s">
        <v>288</v>
      </c>
      <c r="E57" s="95">
        <f>'DOE25'!H79</f>
        <v>7610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6493.16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5210.57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7020.55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103747.98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95203.71</v>
      </c>
      <c r="D61" s="95">
        <f>SUM('DOE25'!G98:G110)</f>
        <v>0</v>
      </c>
      <c r="E61" s="95">
        <f>SUM('DOE25'!H98:H110)</f>
        <v>106269.55</v>
      </c>
      <c r="F61" s="95">
        <f>SUM('DOE25'!I98:I110)</f>
        <v>0</v>
      </c>
      <c r="G61" s="95">
        <f>SUM('DOE25'!J98:J110)</f>
        <v>2660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207491.89</v>
      </c>
      <c r="D62" s="130">
        <f>SUM(D57:D61)</f>
        <v>103747.98</v>
      </c>
      <c r="E62" s="130">
        <f>SUM(E57:E61)</f>
        <v>113879.55</v>
      </c>
      <c r="F62" s="130">
        <f>SUM(F57:F61)</f>
        <v>0</v>
      </c>
      <c r="G62" s="130">
        <f>SUM(G57:G61)</f>
        <v>9680.5499999999993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4316390.8899999997</v>
      </c>
      <c r="D63" s="22">
        <f>D56+D62</f>
        <v>103747.98</v>
      </c>
      <c r="E63" s="22">
        <f>E56+E62</f>
        <v>113879.55</v>
      </c>
      <c r="F63" s="22">
        <f>F56+F62</f>
        <v>0</v>
      </c>
      <c r="G63" s="22">
        <f>G56+G62</f>
        <v>9680.5499999999993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2049147.04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768603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2817750.04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18353.560000000001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5405.4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18725.37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23758.959999999999</v>
      </c>
      <c r="D78" s="130">
        <f>SUM(D72:D77)</f>
        <v>18725.37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2841509</v>
      </c>
      <c r="D81" s="130">
        <f>SUM(D79:D80)+D78+D70</f>
        <v>18725.37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17629.8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64068.61</v>
      </c>
      <c r="D88" s="95">
        <f>SUM('DOE25'!G153:G161)</f>
        <v>73283.31</v>
      </c>
      <c r="E88" s="95">
        <f>SUM('DOE25'!H153:H161)</f>
        <v>341279.24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20606.84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84675.45</v>
      </c>
      <c r="D91" s="131">
        <f>SUM(D85:D90)</f>
        <v>73283.31</v>
      </c>
      <c r="E91" s="131">
        <f>SUM(E85:E90)</f>
        <v>358909.04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140661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40000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11823.34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43.93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51867.27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140661</v>
      </c>
    </row>
    <row r="104" spans="1:7" ht="12.75" thickTop="1" thickBot="1" x14ac:dyDescent="0.25">
      <c r="A104" s="33" t="s">
        <v>764</v>
      </c>
      <c r="C104" s="86">
        <f>C63+C81+C91+C103</f>
        <v>7294442.6099999994</v>
      </c>
      <c r="D104" s="86">
        <f>D63+D81+D91+D103</f>
        <v>195756.65999999997</v>
      </c>
      <c r="E104" s="86">
        <f>E63+E81+E91+E103</f>
        <v>472788.58999999997</v>
      </c>
      <c r="F104" s="86">
        <f>F63+F81+F91+F103</f>
        <v>0</v>
      </c>
      <c r="G104" s="86">
        <f>G63+G81+G103</f>
        <v>150341.54999999999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2743299.3099999996</v>
      </c>
      <c r="D109" s="24" t="s">
        <v>288</v>
      </c>
      <c r="E109" s="95">
        <f>('DOE25'!L276)+('DOE25'!L295)+('DOE25'!L314)</f>
        <v>141507.87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1451788.06</v>
      </c>
      <c r="D110" s="24" t="s">
        <v>288</v>
      </c>
      <c r="E110" s="95">
        <f>('DOE25'!L277)+('DOE25'!L296)+('DOE25'!L315)</f>
        <v>94722.42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67310.28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200680.21000000002</v>
      </c>
      <c r="D112" s="24" t="s">
        <v>288</v>
      </c>
      <c r="E112" s="95">
        <f>+('DOE25'!L279)+('DOE25'!L298)+('DOE25'!L317)</f>
        <v>35114.450000000004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5527.98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4463077.8599999994</v>
      </c>
      <c r="D115" s="86">
        <f>SUM(D109:D114)</f>
        <v>0</v>
      </c>
      <c r="E115" s="86">
        <f>SUM(E109:E114)</f>
        <v>276872.71999999997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831714.02</v>
      </c>
      <c r="D118" s="24" t="s">
        <v>288</v>
      </c>
      <c r="E118" s="95">
        <f>+('DOE25'!L281)+('DOE25'!L300)+('DOE25'!L319)</f>
        <v>2896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247662.93</v>
      </c>
      <c r="D119" s="24" t="s">
        <v>288</v>
      </c>
      <c r="E119" s="95">
        <f>+('DOE25'!L282)+('DOE25'!L301)+('DOE25'!L320)</f>
        <v>28691.190000000002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490391.53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364799.95999999996</v>
      </c>
      <c r="D121" s="24" t="s">
        <v>288</v>
      </c>
      <c r="E121" s="95">
        <f>+('DOE25'!L284)+('DOE25'!L303)+('DOE25'!L322)</f>
        <v>6433.4400000000005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576875.23</v>
      </c>
      <c r="D123" s="24" t="s">
        <v>288</v>
      </c>
      <c r="E123" s="95">
        <f>+('DOE25'!L286)+('DOE25'!L305)+('DOE25'!L324)</f>
        <v>1119.52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340741.89999999997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198548.91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2852185.57</v>
      </c>
      <c r="D128" s="86">
        <f>SUM(D118:D127)</f>
        <v>198548.91</v>
      </c>
      <c r="E128" s="86">
        <f>SUM(E118:E127)</f>
        <v>39140.15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200351.94999999998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136011.56999999998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14329.98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-9680.5499999999884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156775.71999999997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140661</v>
      </c>
      <c r="D144" s="141">
        <f>SUM(D130:D143)</f>
        <v>0</v>
      </c>
      <c r="E144" s="141">
        <f>SUM(E130:E143)</f>
        <v>156775.71999999997</v>
      </c>
      <c r="F144" s="141">
        <f>SUM(F130:F143)</f>
        <v>0</v>
      </c>
      <c r="G144" s="141">
        <f>SUM(G130:G143)</f>
        <v>200351.94999999998</v>
      </c>
    </row>
    <row r="145" spans="1:9" ht="12.75" thickTop="1" thickBot="1" x14ac:dyDescent="0.25">
      <c r="A145" s="33" t="s">
        <v>244</v>
      </c>
      <c r="C145" s="86">
        <f>(C115+C128+C144)</f>
        <v>7455924.4299999997</v>
      </c>
      <c r="D145" s="86">
        <f>(D115+D128+D144)</f>
        <v>198548.91</v>
      </c>
      <c r="E145" s="86">
        <f>(E115+E128+E144)</f>
        <v>472788.58999999997</v>
      </c>
      <c r="F145" s="86">
        <f>(F115+F128+F144)</f>
        <v>0</v>
      </c>
      <c r="G145" s="86">
        <f>(G115+G128+G144)</f>
        <v>200351.94999999998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GRS Cooperative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16610</v>
      </c>
    </row>
    <row r="5" spans="1:4" x14ac:dyDescent="0.2">
      <c r="B5" t="s">
        <v>703</v>
      </c>
      <c r="C5" s="179">
        <f>IF('DOE25'!G665+'DOE25'!G670=0,0,ROUND('DOE25'!G672,0))</f>
        <v>15842</v>
      </c>
    </row>
    <row r="6" spans="1:4" x14ac:dyDescent="0.2">
      <c r="B6" t="s">
        <v>62</v>
      </c>
      <c r="C6" s="179">
        <f>IF('DOE25'!H665+'DOE25'!H670=0,0,ROUND('DOE25'!H672,0))</f>
        <v>17970</v>
      </c>
    </row>
    <row r="7" spans="1:4" x14ac:dyDescent="0.2">
      <c r="B7" t="s">
        <v>704</v>
      </c>
      <c r="C7" s="179">
        <f>IF('DOE25'!I665+'DOE25'!I670=0,0,ROUND('DOE25'!I672,0))</f>
        <v>16821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2884807</v>
      </c>
      <c r="D10" s="182">
        <f>ROUND((C10/$C$28)*100,1)</f>
        <v>36.6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1546510</v>
      </c>
      <c r="D11" s="182">
        <f>ROUND((C11/$C$28)*100,1)</f>
        <v>19.600000000000001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67310</v>
      </c>
      <c r="D12" s="182">
        <f>ROUND((C12/$C$28)*100,1)</f>
        <v>0.9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235795</v>
      </c>
      <c r="D13" s="182">
        <f>ROUND((C13/$C$28)*100,1)</f>
        <v>3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834610</v>
      </c>
      <c r="D15" s="182">
        <f t="shared" ref="D15:D27" si="0">ROUND((C15/$C$28)*100,1)</f>
        <v>10.6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276354</v>
      </c>
      <c r="D16" s="182">
        <f t="shared" si="0"/>
        <v>3.5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490392</v>
      </c>
      <c r="D17" s="182">
        <f t="shared" si="0"/>
        <v>6.2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371233</v>
      </c>
      <c r="D18" s="182">
        <f t="shared" si="0"/>
        <v>4.7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577995</v>
      </c>
      <c r="D20" s="182">
        <f t="shared" si="0"/>
        <v>7.3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340742</v>
      </c>
      <c r="D21" s="182">
        <f t="shared" si="0"/>
        <v>4.3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5528</v>
      </c>
      <c r="D24" s="182">
        <f t="shared" si="0"/>
        <v>0.1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156775.71999999997</v>
      </c>
      <c r="D26" s="182">
        <f t="shared" si="0"/>
        <v>2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94801.02</v>
      </c>
      <c r="D27" s="182">
        <f t="shared" si="0"/>
        <v>1.2</v>
      </c>
    </row>
    <row r="28" spans="1:4" x14ac:dyDescent="0.2">
      <c r="B28" s="187" t="s">
        <v>722</v>
      </c>
      <c r="C28" s="180">
        <f>SUM(C10:C27)</f>
        <v>7882852.7399999993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7882852.7399999993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4108899</v>
      </c>
      <c r="D35" s="182">
        <f t="shared" ref="D35:D40" si="1">ROUND((C35/$C$41)*100,1)</f>
        <v>52.6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331051.99000000022</v>
      </c>
      <c r="D36" s="182">
        <f t="shared" si="1"/>
        <v>4.2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2817750</v>
      </c>
      <c r="D37" s="182">
        <f t="shared" si="1"/>
        <v>36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42484</v>
      </c>
      <c r="D38" s="182">
        <f t="shared" si="1"/>
        <v>0.5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516868</v>
      </c>
      <c r="D39" s="182">
        <f t="shared" si="1"/>
        <v>6.6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44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7817096.9900000002</v>
      </c>
      <c r="D41" s="184">
        <f>SUM(D35:D40)</f>
        <v>99.9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GRS Cooperative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2017-10-12T13:49:15Z</cp:lastPrinted>
  <dcterms:created xsi:type="dcterms:W3CDTF">1997-12-04T19:04:30Z</dcterms:created>
  <dcterms:modified xsi:type="dcterms:W3CDTF">2017-11-29T17:22:53Z</dcterms:modified>
</cp:coreProperties>
</file>