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97" i="1" l="1"/>
  <c r="F4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C123" i="2" s="1"/>
  <c r="F15" i="13"/>
  <c r="G15" i="13"/>
  <c r="L208" i="1"/>
  <c r="L226" i="1"/>
  <c r="G662" i="1" s="1"/>
  <c r="L244" i="1"/>
  <c r="H647" i="1" s="1"/>
  <c r="F17" i="13"/>
  <c r="G17" i="13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L285" i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L317" i="1"/>
  <c r="L319" i="1"/>
  <c r="E118" i="2" s="1"/>
  <c r="L320" i="1"/>
  <c r="L321" i="1"/>
  <c r="L322" i="1"/>
  <c r="L323" i="1"/>
  <c r="L324" i="1"/>
  <c r="L325" i="1"/>
  <c r="L326" i="1"/>
  <c r="E125" i="2" s="1"/>
  <c r="L333" i="1"/>
  <c r="E114" i="2" s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C113" i="2"/>
  <c r="E113" i="2"/>
  <c r="D115" i="2"/>
  <c r="F115" i="2"/>
  <c r="G115" i="2"/>
  <c r="E119" i="2"/>
  <c r="E120" i="2"/>
  <c r="E121" i="2"/>
  <c r="E122" i="2"/>
  <c r="E123" i="2"/>
  <c r="C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I408" i="1" s="1"/>
  <c r="F407" i="1"/>
  <c r="G407" i="1"/>
  <c r="H407" i="1"/>
  <c r="I407" i="1"/>
  <c r="F408" i="1"/>
  <c r="G408" i="1"/>
  <c r="H645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I460" i="1"/>
  <c r="F461" i="1"/>
  <c r="G461" i="1"/>
  <c r="H640" i="1" s="1"/>
  <c r="J640" i="1" s="1"/>
  <c r="H461" i="1"/>
  <c r="I461" i="1"/>
  <c r="F470" i="1"/>
  <c r="G470" i="1"/>
  <c r="H470" i="1"/>
  <c r="I470" i="1"/>
  <c r="I476" i="1" s="1"/>
  <c r="H625" i="1" s="1"/>
  <c r="J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G641" i="1"/>
  <c r="H641" i="1"/>
  <c r="H642" i="1"/>
  <c r="G643" i="1"/>
  <c r="H643" i="1"/>
  <c r="G644" i="1"/>
  <c r="G649" i="1"/>
  <c r="G652" i="1"/>
  <c r="H652" i="1"/>
  <c r="G653" i="1"/>
  <c r="H653" i="1"/>
  <c r="G654" i="1"/>
  <c r="H654" i="1"/>
  <c r="H655" i="1"/>
  <c r="J655" i="1" s="1"/>
  <c r="F192" i="1"/>
  <c r="C18" i="2"/>
  <c r="C26" i="10"/>
  <c r="L351" i="1"/>
  <c r="C70" i="2"/>
  <c r="D18" i="13"/>
  <c r="C18" i="13" s="1"/>
  <c r="C91" i="2"/>
  <c r="F78" i="2"/>
  <c r="F81" i="2" s="1"/>
  <c r="C78" i="2"/>
  <c r="C81" i="2" s="1"/>
  <c r="D50" i="2"/>
  <c r="G157" i="2"/>
  <c r="F18" i="2"/>
  <c r="G156" i="2"/>
  <c r="E103" i="2"/>
  <c r="D91" i="2"/>
  <c r="E62" i="2"/>
  <c r="E63" i="2" s="1"/>
  <c r="E31" i="2"/>
  <c r="G62" i="2"/>
  <c r="D19" i="13"/>
  <c r="C19" i="13" s="1"/>
  <c r="E78" i="2"/>
  <c r="E81" i="2" s="1"/>
  <c r="H112" i="1"/>
  <c r="J641" i="1"/>
  <c r="J639" i="1"/>
  <c r="J571" i="1"/>
  <c r="K571" i="1"/>
  <c r="L433" i="1"/>
  <c r="L419" i="1"/>
  <c r="D81" i="2"/>
  <c r="I169" i="1"/>
  <c r="J643" i="1"/>
  <c r="J476" i="1"/>
  <c r="H626" i="1" s="1"/>
  <c r="H476" i="1"/>
  <c r="H624" i="1" s="1"/>
  <c r="J624" i="1" s="1"/>
  <c r="F476" i="1"/>
  <c r="H622" i="1" s="1"/>
  <c r="J622" i="1" s="1"/>
  <c r="G476" i="1"/>
  <c r="H623" i="1" s="1"/>
  <c r="F169" i="1"/>
  <c r="J140" i="1"/>
  <c r="F571" i="1"/>
  <c r="G22" i="2"/>
  <c r="J552" i="1"/>
  <c r="C29" i="10"/>
  <c r="H140" i="1"/>
  <c r="L393" i="1"/>
  <c r="A13" i="12"/>
  <c r="F22" i="13"/>
  <c r="C22" i="13" s="1"/>
  <c r="H25" i="13"/>
  <c r="C25" i="13" s="1"/>
  <c r="H571" i="1"/>
  <c r="L560" i="1"/>
  <c r="G192" i="1"/>
  <c r="H192" i="1"/>
  <c r="C35" i="10"/>
  <c r="L309" i="1"/>
  <c r="D5" i="13"/>
  <c r="C5" i="13" s="1"/>
  <c r="E16" i="13"/>
  <c r="L570" i="1"/>
  <c r="G36" i="2"/>
  <c r="L565" i="1"/>
  <c r="C138" i="2"/>
  <c r="C16" i="13"/>
  <c r="A40" i="12" l="1"/>
  <c r="L614" i="1"/>
  <c r="K605" i="1"/>
  <c r="G648" i="1" s="1"/>
  <c r="K598" i="1"/>
  <c r="G647" i="1" s="1"/>
  <c r="J647" i="1" s="1"/>
  <c r="J649" i="1"/>
  <c r="H545" i="1"/>
  <c r="I552" i="1"/>
  <c r="L539" i="1"/>
  <c r="K545" i="1"/>
  <c r="I545" i="1"/>
  <c r="H552" i="1"/>
  <c r="L534" i="1"/>
  <c r="J545" i="1"/>
  <c r="G552" i="1"/>
  <c r="G545" i="1"/>
  <c r="L529" i="1"/>
  <c r="K551" i="1"/>
  <c r="K550" i="1"/>
  <c r="K549" i="1"/>
  <c r="F552" i="1"/>
  <c r="L524" i="1"/>
  <c r="G164" i="2"/>
  <c r="K503" i="1"/>
  <c r="G161" i="2"/>
  <c r="K500" i="1"/>
  <c r="J644" i="1"/>
  <c r="G645" i="1"/>
  <c r="J645" i="1"/>
  <c r="I446" i="1"/>
  <c r="G642" i="1" s="1"/>
  <c r="J642" i="1" s="1"/>
  <c r="L401" i="1"/>
  <c r="C139" i="2" s="1"/>
  <c r="J634" i="1"/>
  <c r="D127" i="2"/>
  <c r="D128" i="2" s="1"/>
  <c r="D145" i="2" s="1"/>
  <c r="D29" i="13"/>
  <c r="C29" i="13" s="1"/>
  <c r="F661" i="1"/>
  <c r="H661" i="1"/>
  <c r="L362" i="1"/>
  <c r="G635" i="1" s="1"/>
  <c r="J635" i="1" s="1"/>
  <c r="G661" i="1"/>
  <c r="K338" i="1"/>
  <c r="K352" i="1" s="1"/>
  <c r="G338" i="1"/>
  <c r="G352" i="1" s="1"/>
  <c r="C12" i="10"/>
  <c r="L328" i="1"/>
  <c r="E109" i="2"/>
  <c r="E115" i="2" s="1"/>
  <c r="H338" i="1"/>
  <c r="H352" i="1" s="1"/>
  <c r="F338" i="1"/>
  <c r="F352" i="1" s="1"/>
  <c r="E128" i="2"/>
  <c r="L290" i="1"/>
  <c r="C132" i="2"/>
  <c r="H33" i="13"/>
  <c r="I257" i="1"/>
  <c r="I271" i="1" s="1"/>
  <c r="G651" i="1"/>
  <c r="J651" i="1" s="1"/>
  <c r="H662" i="1"/>
  <c r="C19" i="10"/>
  <c r="D12" i="13"/>
  <c r="C12" i="13" s="1"/>
  <c r="C17" i="10"/>
  <c r="L247" i="1"/>
  <c r="C13" i="10"/>
  <c r="C110" i="2"/>
  <c r="C10" i="10"/>
  <c r="K257" i="1"/>
  <c r="K271" i="1" s="1"/>
  <c r="D15" i="13"/>
  <c r="C15" i="13" s="1"/>
  <c r="G650" i="1"/>
  <c r="J650" i="1" s="1"/>
  <c r="D6" i="13"/>
  <c r="C6" i="13" s="1"/>
  <c r="J257" i="1"/>
  <c r="J271" i="1" s="1"/>
  <c r="C124" i="2"/>
  <c r="H257" i="1"/>
  <c r="H271" i="1" s="1"/>
  <c r="C20" i="10"/>
  <c r="E13" i="13"/>
  <c r="C13" i="13" s="1"/>
  <c r="C122" i="2"/>
  <c r="G257" i="1"/>
  <c r="G271" i="1" s="1"/>
  <c r="C21" i="10"/>
  <c r="C121" i="2"/>
  <c r="E8" i="13"/>
  <c r="C8" i="13" s="1"/>
  <c r="C120" i="2"/>
  <c r="D7" i="13"/>
  <c r="C7" i="13" s="1"/>
  <c r="C16" i="10"/>
  <c r="C15" i="10"/>
  <c r="L229" i="1"/>
  <c r="G660" i="1" s="1"/>
  <c r="C112" i="2"/>
  <c r="C11" i="10"/>
  <c r="C109" i="2"/>
  <c r="C18" i="10"/>
  <c r="D14" i="13"/>
  <c r="C14" i="13" s="1"/>
  <c r="C119" i="2"/>
  <c r="C118" i="2"/>
  <c r="F662" i="1"/>
  <c r="L211" i="1"/>
  <c r="L382" i="1"/>
  <c r="G636" i="1" s="1"/>
  <c r="J636" i="1" s="1"/>
  <c r="J623" i="1"/>
  <c r="D31" i="2"/>
  <c r="H52" i="1"/>
  <c r="H619" i="1" s="1"/>
  <c r="F112" i="1"/>
  <c r="C36" i="10" s="1"/>
  <c r="C62" i="2"/>
  <c r="C63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G31" i="13"/>
  <c r="G33" i="13" s="1"/>
  <c r="I338" i="1"/>
  <c r="I352" i="1" s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K552" i="1" l="1"/>
  <c r="L545" i="1"/>
  <c r="C27" i="10"/>
  <c r="G104" i="2"/>
  <c r="L408" i="1"/>
  <c r="G637" i="1" s="1"/>
  <c r="J637" i="1" s="1"/>
  <c r="C141" i="2"/>
  <c r="I661" i="1"/>
  <c r="G664" i="1"/>
  <c r="G672" i="1" s="1"/>
  <c r="C5" i="10" s="1"/>
  <c r="L338" i="1"/>
  <c r="L352" i="1" s="1"/>
  <c r="G633" i="1" s="1"/>
  <c r="J633" i="1" s="1"/>
  <c r="H660" i="1"/>
  <c r="H664" i="1" s="1"/>
  <c r="H667" i="1" s="1"/>
  <c r="E145" i="2"/>
  <c r="D31" i="13"/>
  <c r="C31" i="13" s="1"/>
  <c r="C144" i="2"/>
  <c r="I662" i="1"/>
  <c r="E33" i="13"/>
  <c r="D35" i="13" s="1"/>
  <c r="C128" i="2"/>
  <c r="F660" i="1"/>
  <c r="F664" i="1" s="1"/>
  <c r="F667" i="1" s="1"/>
  <c r="C104" i="2"/>
  <c r="F193" i="1"/>
  <c r="G627" i="1" s="1"/>
  <c r="J627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G667" i="1"/>
  <c r="H672" i="1"/>
  <c r="C6" i="10" s="1"/>
  <c r="I660" i="1"/>
  <c r="I664" i="1" s="1"/>
  <c r="I672" i="1" s="1"/>
  <c r="C7" i="10" s="1"/>
  <c r="F672" i="1"/>
  <c r="C4" i="10" s="1"/>
  <c r="C41" i="10"/>
  <c r="D38" i="10" s="1"/>
  <c r="I667" i="1" l="1"/>
  <c r="D37" i="10"/>
  <c r="D36" i="10"/>
  <c r="D35" i="10"/>
  <c r="D40" i="10"/>
  <c r="D39" i="10"/>
  <c r="D41" i="10" l="1"/>
  <c r="F256" i="1"/>
  <c r="F257" i="1" s="1"/>
  <c r="F271" i="1" s="1"/>
  <c r="L251" i="1"/>
  <c r="C114" i="2" s="1"/>
  <c r="C115" i="2" s="1"/>
  <c r="C145" i="2" s="1"/>
  <c r="C24" i="10" l="1"/>
  <c r="L256" i="1"/>
  <c r="L257" i="1" s="1"/>
  <c r="L271" i="1" s="1"/>
  <c r="G632" i="1" s="1"/>
  <c r="D17" i="13"/>
  <c r="C28" i="10" l="1"/>
  <c r="D33" i="13"/>
  <c r="D36" i="13" s="1"/>
  <c r="C17" i="13"/>
  <c r="J632" i="1"/>
  <c r="H656" i="1"/>
  <c r="D12" i="10" l="1"/>
  <c r="D16" i="10"/>
  <c r="D25" i="10"/>
  <c r="D13" i="10"/>
  <c r="D21" i="10"/>
  <c r="D27" i="10"/>
  <c r="D23" i="10"/>
  <c r="D19" i="10"/>
  <c r="D11" i="10"/>
  <c r="D10" i="10"/>
  <c r="D17" i="10"/>
  <c r="D15" i="10"/>
  <c r="D18" i="10"/>
  <c r="C30" i="10"/>
  <c r="D20" i="10"/>
  <c r="D22" i="10"/>
  <c r="D26" i="10"/>
  <c r="D24" i="10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<sst xmlns="http://schemas.openxmlformats.org/spreadsheetml/2006/main" count="3959" uniqueCount="917">
  <si>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</si>
  <si>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</si>
  <si>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</si>
  <si>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</si>
  <si>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</si>
  <si>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</si>
  <si>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</si>
  <si>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</si>
  <si>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</si>
  <si>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</si>
  <si>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</si>
  <si>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</si>
  <si>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</si>
  <si>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</si>
  <si>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</si>
  <si>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</si>
  <si>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</si>
  <si>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</si>
  <si>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</si>
  <si>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</si>
  <si>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</si>
  <si>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</si>
  <si>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</si>
  <si>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</si>
  <si>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</si>
  <si>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</si>
  <si>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</si>
  <si>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</si>
  <si>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</si>
  <si>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</si>
  <si>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</si>
  <si>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</si>
  <si>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</si>
  <si>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</si>
  <si>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</si>
  <si>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</si>
  <si>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</si>
  <si>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</si>
  <si>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</si>
  <si>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</si>
  <si>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</si>
  <si>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</si>
  <si>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</si>
  <si>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</si>
  <si>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</si>
  <si>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</si>
  <si>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</si>
  <si>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</si>
  <si>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</si>
  <si>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</si>
  <si>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</si>
  <si>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</si>
  <si>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</si>
  <si>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</si>
  <si>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</si>
  <si>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</si>
  <si>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</si>
  <si>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</si>
  <si>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</si>
  <si>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</si>
  <si>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</si>
  <si>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</si>
  <si>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</si>
  <si>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</si>
  <si>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</si>
  <si>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</si>
  <si>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</si>
  <si>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</si>
  <si>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</si>
  <si>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</si>
  <si>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</si>
  <si>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</si>
  <si>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</si>
  <si>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</si>
  <si>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</si>
  <si>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</si>
  <si>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</si>
  <si>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</si>
  <si>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</si>
  <si>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</si>
  <si>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</si>
  <si>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</si>
  <si>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</si>
  <si>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</si>
  <si>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</si>
  <si>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</si>
  <si>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</si>
  <si>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</si>
  <si>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</si>
  <si>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</si>
  <si>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</si>
  <si>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</si>
  <si>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</si>
  <si>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</si>
  <si>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</si>
  <si>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</si>
  <si>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</si>
  <si>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</si>
  <si>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</si>
  <si>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</si>
  <si>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</si>
  <si>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</si>
  <si>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</si>
  <si>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</si>
  <si>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</si>
  <si>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</si>
  <si>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</si>
  <si>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</si>
  <si>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</si>
  <si>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</si>
  <si>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</si>
  <si>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</si>
  <si>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</si>
  <si>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</si>
  <si>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</si>
  <si>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</si>
  <si>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</si>
  <si>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</si>
  <si>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</si>
  <si>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</si>
  <si>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</si>
  <si>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</si>
  <si>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</si>
  <si>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</si>
  <si>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</si>
  <si>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</si>
  <si>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</si>
  <si>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</si>
  <si>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</si>
  <si>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</si>
  <si>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</si>
  <si>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</si>
  <si>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</si>
  <si>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</si>
  <si>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</si>
  <si>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</si>
  <si>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</si>
  <si>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</si>
  <si>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</si>
  <si>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</si>
  <si>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</si>
  <si>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</si>
  <si>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</si>
  <si>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</si>
  <si>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</si>
  <si>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</si>
  <si>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</si>
  <si>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</si>
  <si>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</si>
  <si>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</si>
  <si>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</si>
  <si>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</si>
  <si>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</si>
  <si>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</si>
  <si>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</si>
  <si>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</si>
  <si>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</si>
  <si>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</si>
  <si>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</si>
  <si>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</si>
  <si>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</si>
  <si>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</si>
  <si>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</si>
  <si>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</si>
  <si>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</si>
  <si>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</si>
  <si>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</si>
  <si>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</si>
  <si>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</si>
  <si>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</si>
  <si>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</si>
  <si>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</si>
  <si>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</si>
  <si>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</si>
  <si>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</si>
  <si>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</si>
  <si>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</si>
  <si>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</si>
  <si>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</si>
  <si>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</si>
  <si>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</si>
  <si>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</si>
  <si>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</si>
  <si>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</si>
  <si>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</si>
  <si>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</si>
  <si>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</si>
  <si>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</si>
  <si>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</si>
  <si>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</si>
  <si>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</si>
  <si>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</si>
  <si>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</si>
  <si>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</si>
  <si>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</si>
  <si>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</si>
  <si>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</si>
  <si>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</si>
  <si>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</si>
  <si>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</si>
  <si>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</si>
  <si>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</si>
  <si>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</si>
  <si>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</si>
  <si>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</si>
  <si>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</si>
  <si>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</si>
  <si>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</si>
  <si>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</si>
  <si>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</si>
  <si>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</si>
  <si>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</si>
  <si>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</si>
  <si>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</si>
  <si>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</si>
  <si>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</si>
  <si>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</si>
  <si>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</si>
  <si>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</si>
  <si>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</si>
  <si>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</si>
  <si>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</si>
  <si>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</si>
  <si>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</si>
  <si>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</si>
  <si>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</si>
  <si>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</si>
  <si>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</si>
  <si>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</si>
  <si>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</si>
  <si>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</si>
  <si>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</si>
  <si>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</si>
  <si>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</si>
  <si>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</si>
  <si>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</si>
  <si>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</si>
  <si>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</si>
  <si>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</si>
  <si>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</si>
  <si>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</si>
  <si>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</si>
  <si>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</si>
  <si>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</si>
  <si>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</si>
  <si>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</si>
  <si>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</si>
  <si>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</si>
  <si>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</si>
  <si>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</si>
  <si>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</si>
  <si>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</si>
  <si>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</si>
  <si>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</si>
  <si>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</si>
  <si>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</si>
  <si>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</si>
  <si>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</si>
  <si>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</si>
  <si>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</si>
  <si>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</si>
  <si>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</si>
  <si>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</si>
  <si>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</si>
  <si>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</si>
  <si>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</si>
  <si>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</si>
  <si>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</si>
  <si>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</si>
  <si>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</si>
  <si>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</si>
  <si>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</si>
  <si>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</si>
  <si>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</si>
  <si>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</si>
  <si>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</si>
  <si>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</si>
  <si>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</si>
  <si>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</si>
  <si>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</si>
  <si>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</si>
  <si>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</si>
  <si>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</si>
  <si>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</si>
  <si>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</si>
  <si>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</si>
  <si>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</si>
  <si>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</si>
  <si>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</si>
  <si>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</si>
  <si>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</si>
  <si>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</si>
  <si>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</si>
  <si>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</si>
  <si>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</si>
  <si>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</si>
  <si>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</si>
  <si>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</si>
  <si>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</si>
  <si>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</si>
  <si>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</si>
  <si>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</si>
  <si>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</si>
  <si>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</si>
  <si>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</si>
  <si>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</si>
  <si>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</si>
  <si>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</si>
  <si>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</si>
  <si>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</si>
  <si>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</si>
  <si>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</si>
  <si>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</si>
  <si>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</si>
  <si>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</si>
  <si>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</si>
  <si>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</si>
  <si>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</si>
  <si>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</si>
  <si>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</si>
  <si>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</si>
  <si>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</si>
  <si>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</si>
  <si>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</si>
  <si>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</si>
  <si>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</si>
  <si>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</si>
  <si>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</si>
  <si>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</si>
  <si>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</si>
  <si>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</si>
  <si>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</si>
  <si>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</si>
  <si>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</si>
  <si>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</si>
  <si>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</si>
  <si>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</si>
  <si>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</si>
  <si>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</si>
  <si>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</si>
  <si>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</si>
  <si>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</si>
  <si>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</si>
  <si>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</si>
  <si>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</si>
  <si>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</si>
  <si>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</si>
  <si>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</si>
  <si>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</si>
  <si>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</si>
  <si>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</si>
  <si>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</si>
  <si>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</si>
  <si>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</si>
  <si>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</si>
  <si>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</si>
  <si>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</si>
  <si>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</si>
  <si>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</si>
  <si>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</si>
  <si>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</si>
  <si>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</si>
  <si>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</si>
  <si>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</si>
  <si>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</si>
  <si>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</si>
  <si>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</si>
  <si>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</si>
  <si>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</si>
  <si>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</si>
  <si>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</si>
  <si>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</si>
  <si>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</si>
  <si>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</si>
  <si>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</si>
  <si>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</si>
  <si>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</si>
  <si>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</si>
  <si>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</si>
  <si>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</si>
  <si>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</si>
  <si>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</si>
  <si>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</si>
  <si>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</si>
  <si>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</si>
  <si>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</si>
  <si>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</si>
  <si>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</si>
  <si>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</si>
  <si>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</si>
  <si>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</si>
  <si>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</si>
  <si>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</si>
  <si>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</si>
  <si>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</si>
  <si>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</si>
  <si>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</si>
  <si>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</si>
  <si>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</si>
  <si>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</si>
  <si>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</si>
  <si>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</si>
  <si>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</si>
  <si>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</si>
  <si>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</si>
  <si>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</si>
  <si>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</si>
  <si>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</si>
  <si>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</si>
  <si>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</si>
  <si>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</si>
  <si>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</si>
  <si>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</si>
  <si>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</si>
  <si>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</si>
  <si>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</si>
  <si>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</si>
  <si>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</si>
  <si>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</si>
  <si>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</si>
  <si>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</si>
  <si>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</si>
  <si>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</si>
  <si>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</si>
  <si>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</si>
  <si>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</si>
  <si>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</si>
  <si>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</si>
  <si>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</si>
  <si>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</si>
  <si>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</si>
  <si>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</si>
  <si>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</si>
  <si>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</si>
  <si>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</si>
  <si>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</si>
  <si>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</si>
  <si>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</si>
  <si>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</si>
  <si>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</si>
  <si>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</si>
  <si>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</si>
  <si>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</si>
  <si>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</si>
  <si>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</si>
  <si>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</si>
  <si>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</si>
  <si>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</si>
  <si>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</si>
  <si>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</si>
  <si>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</si>
  <si>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</si>
  <si>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</si>
  <si>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</si>
  <si>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</si>
  <si>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</si>
  <si>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</si>
  <si>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</si>
  <si>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</si>
  <si>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</si>
  <si>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</si>
  <si>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</si>
  <si>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</si>
  <si>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</si>
  <si>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</si>
  <si>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</si>
  <si>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</si>
  <si>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</si>
  <si>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</si>
  <si>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</si>
  <si>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</si>
  <si>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</si>
  <si>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</si>
  <si>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</si>
  <si>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</si>
  <si>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</si>
  <si>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</si>
  <si>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</si>
  <si>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</si>
  <si>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</si>
  <si>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</si>
  <si>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</si>
  <si>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</si>
  <si>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</si>
  <si>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</si>
  <si>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</si>
  <si>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</si>
  <si>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</si>
  <si>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</si>
  <si>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</si>
  <si>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</si>
  <si>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</si>
  <si>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</si>
  <si>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</si>
  <si>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</si>
  <si>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</si>
  <si>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</si>
  <si>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</si>
  <si>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</si>
  <si>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</si>
  <si>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</si>
  <si>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</si>
  <si>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</si>
  <si>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</si>
  <si>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</si>
  <si>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</si>
  <si>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</si>
  <si>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</si>
  <si>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</si>
  <si>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</si>
  <si>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</si>
  <si>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</si>
  <si>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</si>
  <si>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</si>
  <si>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</si>
  <si>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</si>
  <si>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</si>
  <si>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</si>
  <si>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</si>
  <si>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</si>
  <si>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</si>
  <si>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</si>
  <si>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</si>
  <si>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</si>
  <si>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</si>
  <si>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</si>
  <si>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</si>
  <si>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</si>
  <si>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</si>
  <si>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</si>
  <si>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</si>
  <si>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</si>
  <si>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</si>
  <si>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</si>
  <si>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</si>
  <si>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</si>
  <si>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</si>
  <si>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</si>
  <si>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</si>
  <si>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</si>
  <si>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</si>
  <si>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</si>
  <si>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</si>
  <si>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</si>
  <si>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</si>
  <si>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</si>
  <si>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</si>
  <si>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</si>
  <si>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</si>
  <si>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</si>
  <si>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</si>
  <si>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</si>
  <si>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</si>
  <si>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</si>
  <si>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</si>
  <si>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</si>
  <si>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</si>
  <si>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</si>
  <si>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</si>
  <si>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</si>
  <si>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</si>
  <si>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</si>
  <si>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</si>
  <si>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</si>
  <si>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</si>
  <si>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</si>
  <si>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</si>
  <si>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</si>
  <si>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</si>
  <si>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</si>
  <si>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</si>
  <si>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</si>
  <si>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</si>
  <si>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</si>
  <si>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</si>
  <si>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</si>
  <si>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</si>
  <si>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</si>
  <si>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</si>
  <si>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</si>
  <si>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</si>
  <si>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</si>
  <si>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</si>
  <si>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</si>
  <si>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</si>
  <si>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</si>
  <si>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</si>
  <si>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</si>
  <si>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</si>
  <si>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</si>
  <si>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</si>
  <si>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</si>
  <si>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</si>
  <si>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</si>
  <si>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</si>
  <si>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</si>
  <si>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</si>
  <si>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</si>
  <si>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</si>
  <si>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</si>
  <si>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</si>
  <si>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</si>
  <si>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</si>
  <si>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</si>
  <si>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</si>
  <si>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</si>
  <si>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</si>
  <si>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</si>
  <si>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</si>
  <si>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</si>
  <si>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</si>
  <si>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</si>
  <si>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</si>
  <si>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</si>
  <si>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</si>
  <si>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</si>
  <si>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</si>
  <si>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</si>
  <si>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</si>
  <si>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</si>
  <si>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</si>
  <si>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</si>
  <si>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</si>
  <si>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</si>
  <si>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</si>
  <si>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</si>
  <si>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</si>
  <si>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</si>
  <si>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</si>
  <si>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</si>
  <si>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</si>
  <si>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</si>
  <si>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</si>
  <si>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</si>
  <si>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</si>
  <si>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</si>
  <si>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</si>
  <si>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</si>
  <si>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</si>
  <si>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</si>
  <si>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</si>
  <si>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</si>
  <si>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</si>
  <si>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</si>
  <si>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</si>
  <si>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</si>
  <si>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</si>
  <si>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</si>
  <si>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</si>
  <si>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</si>
  <si>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</si>
  <si>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</si>
  <si>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</si>
  <si>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</si>
  <si>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</si>
  <si>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</si>
  <si>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</si>
  <si>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</si>
  <si>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</si>
  <si>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</si>
  <si>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</si>
  <si>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</si>
  <si>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</si>
  <si>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</si>
  <si>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</si>
  <si>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</si>
  <si>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</si>
  <si>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</si>
  <si>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</si>
  <si>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</si>
  <si>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</si>
  <si>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</si>
  <si>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</si>
  <si>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</si>
  <si>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</si>
  <si>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</si>
  <si>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</si>
  <si>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</si>
  <si>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</si>
  <si>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</si>
  <si>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</si>
  <si>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</si>
  <si>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</si>
  <si>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</si>
  <si>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</si>
  <si>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</si>
  <si>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</si>
  <si>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</si>
  <si>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</si>
  <si>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</si>
  <si>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</si>
  <si>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</si>
  <si>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</si>
  <si>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</si>
  <si>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</si>
  <si>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</si>
  <si>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</si>
  <si>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</si>
  <si>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</si>
  <si>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</si>
  <si>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</si>
  <si>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</si>
  <si>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</si>
  <si>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</si>
  <si>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</si>
  <si>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</si>
  <si>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</si>
  <si>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</si>
  <si>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</si>
  <si>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</si>
  <si>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</si>
  <si>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</si>
  <si>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</si>
  <si>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</si>
  <si>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</si>
  <si>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</si>
  <si>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</si>
  <si>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</si>
  <si>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</si>
  <si>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</si>
  <si>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</si>
  <si>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</si>
  <si>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</si>
  <si>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</si>
  <si>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</si>
  <si>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</si>
  <si>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</si>
  <si>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</si>
  <si>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</si>
  <si>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</si>
  <si>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</si>
  <si>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</si>
  <si>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</si>
  <si>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</si>
  <si>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</si>
  <si>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</si>
  <si>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</si>
  <si>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</si>
  <si>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</si>
  <si>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</si>
  <si>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</si>
  <si>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</si>
  <si>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</si>
  <si>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</si>
  <si>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</si>
  <si>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</si>
  <si>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</si>
  <si>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</si>
  <si>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</si>
  <si>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</si>
  <si>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</si>
  <si>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</si>
  <si>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</si>
  <si>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</si>
  <si>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</si>
  <si>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</si>
  <si>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</si>
  <si>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</si>
  <si>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</si>
  <si>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</si>
  <si>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</si>
  <si>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</si>
  <si>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</si>
  <si>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</si>
  <si>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</si>
  <si>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</si>
  <si>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</si>
  <si>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</si>
  <si>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</si>
  <si>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</si>
  <si>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</si>
  <si>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</si>
  <si>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</si>
  <si>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</si>
  <si>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</si>
  <si>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</si>
  <si>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</si>
  <si>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</si>
  <si>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</si>
  <si>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</si>
  <si>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</si>
  <si>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</si>
  <si>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</si>
  <si>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</si>
  <si>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</si>
  <si>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</si>
  <si>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</si>
  <si>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</si>
  <si>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</si>
  <si>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</si>
  <si>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</si>
  <si>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</si>
  <si>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</si>
  <si>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</si>
  <si>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</si>
  <si>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</si>
  <si>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</si>
  <si>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</si>
  <si>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</si>
  <si>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</si>
  <si>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</si>
  <si>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</si>
  <si>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</si>
  <si>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</si>
  <si>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</si>
  <si>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</si>
  <si>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</si>
  <si>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</si>
  <si>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</si>
  <si>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</si>
  <si>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</si>
  <si>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</si>
  <si>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</si>
  <si>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</si>
  <si>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</si>
  <si>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</si>
  <si>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</si>
  <si>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</si>
  <si>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</si>
  <si>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</si>
  <si>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</si>
  <si>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</si>
  <si>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</si>
  <si>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</si>
  <si>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</si>
  <si>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</si>
  <si>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</si>
  <si>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</si>
  <si>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</si>
  <si>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</si>
  <si>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</si>
  <si>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</si>
  <si>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</si>
  <si>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</si>
  <si>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</si>
  <si>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</si>
  <si>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</si>
  <si>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</si>
  <si>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</si>
  <si>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</si>
  <si>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</si>
  <si>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</si>
  <si>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</si>
  <si>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</si>
  <si>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</si>
  <si>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</si>
  <si>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</si>
  <si>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</si>
  <si>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</si>
  <si>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</si>
  <si>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</si>
  <si>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</si>
  <si>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</si>
  <si>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</si>
  <si>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</si>
  <si>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</si>
  <si>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</si>
  <si>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</si>
  <si>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</si>
  <si>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</si>
  <si>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</si>
  <si>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</si>
  <si>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</si>
  <si>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</si>
  <si>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</si>
  <si>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</si>
  <si>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</si>
  <si>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</si>
  <si>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</si>
  <si>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</si>
  <si>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</si>
  <si>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</si>
  <si>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</si>
  <si>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</si>
  <si>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</si>
  <si>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</si>
  <si>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</si>
  <si>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</si>
  <si>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</si>
  <si>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</si>
  <si>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</si>
  <si>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</si>
  <si>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</si>
  <si>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</si>
  <si>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</si>
  <si>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</si>
  <si>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</si>
  <si>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</si>
  <si>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</si>
  <si>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</si>
  <si>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</si>
  <si>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</si>
  <si>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</si>
  <si>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</si>
  <si>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</si>
  <si>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</si>
  <si>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</si>
  <si>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</si>
  <si>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</si>
  <si>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</si>
  <si>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</si>
  <si>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</si>
  <si>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</si>
  <si>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</si>
  <si>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</si>
  <si>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</si>
  <si>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</si>
  <si>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</si>
  <si>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</si>
  <si>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</si>
  <si>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</si>
  <si>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</si>
  <si>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Governor Wentworth Regional School District</t>
  </si>
  <si>
    <t>07/09</t>
  </si>
  <si>
    <t>07/10</t>
  </si>
  <si>
    <t>07/39</t>
  </si>
  <si>
    <t>08/40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</si>
</sst>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5" zoomScaleNormal="125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208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1265280.8600000001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10</v>
      </c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116296.42</v>
      </c>
      <c r="G12" s="18">
        <v>58032.15</v>
      </c>
      <c r="H12" s="18"/>
      <c r="I12" s="18"/>
      <c r="J12" s="67">
        <f>SUM(I441)</f>
        <v>44108.76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225681.17</v>
      </c>
      <c r="G13" s="18">
        <v>49572.67</v>
      </c>
      <c r="H13" s="18">
        <v>317439.92</v>
      </c>
      <c r="I13" s="18"/>
      <c r="J13" s="67">
        <f>SUM(I442)</f>
        <v>1459043.01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2698.2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17912.21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1627878.8599999999</v>
      </c>
      <c r="G19" s="41">
        <f>SUM(G9:G18)</f>
        <v>107604.82</v>
      </c>
      <c r="H19" s="41">
        <f>SUM(H9:H18)</f>
        <v>317439.92</v>
      </c>
      <c r="I19" s="41">
        <f>SUM(I9:I18)</f>
        <v>0</v>
      </c>
      <c r="J19" s="41">
        <f>SUM(J9:J18)</f>
        <v>1503151.77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>
        <v>232748.54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383060.99</v>
      </c>
      <c r="G28" s="18">
        <v>24367.3</v>
      </c>
      <c r="H28" s="18">
        <v>33119.910000000003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2618.36</v>
      </c>
      <c r="G30" s="18">
        <v>17174.71</v>
      </c>
      <c r="H30" s="18">
        <v>51571.47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385679.35</v>
      </c>
      <c r="G32" s="41">
        <f>SUM(G22:G31)</f>
        <v>41542.009999999995</v>
      </c>
      <c r="H32" s="41">
        <f>SUM(H22:H31)</f>
        <v>317439.92000000004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17912.21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66062.81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60000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1503151.77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51209.58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1113077.72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1242199.51</v>
      </c>
      <c r="G51" s="41">
        <f>SUM(G35:G50)</f>
        <v>66062.81</v>
      </c>
      <c r="H51" s="41">
        <f>SUM(H35:H50)</f>
        <v>0</v>
      </c>
      <c r="I51" s="41">
        <f>SUM(I35:I50)</f>
        <v>0</v>
      </c>
      <c r="J51" s="41">
        <f>SUM(J35:J50)</f>
        <v>1503151.77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1627878.8599999999</v>
      </c>
      <c r="G52" s="41">
        <f>G51+G32</f>
        <v>107604.81999999999</v>
      </c>
      <c r="H52" s="41">
        <f>H51+H32</f>
        <v>317439.92000000004</v>
      </c>
      <c r="I52" s="41">
        <f>I51+I32</f>
        <v>0</v>
      </c>
      <c r="J52" s="41">
        <f>J51+J32</f>
        <v>1503151.77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27201714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27201714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17154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2335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1539013.54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169275.9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196241.95</v>
      </c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1924020.39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1067.6600000000001</v>
      </c>
      <c r="G96" s="18"/>
      <c r="H96" s="18"/>
      <c r="I96" s="18"/>
      <c r="J96" s="18">
        <v>15083.9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476445.98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7834.21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>
        <v>2857.48</v>
      </c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6113.56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>
        <v>7759.68</v>
      </c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>
        <v>168332</v>
      </c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1027.8699999999999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192907.6</v>
      </c>
      <c r="G110" s="18">
        <v>2883.96</v>
      </c>
      <c r="H110" s="18"/>
      <c r="I110" s="18"/>
      <c r="J110" s="18">
        <v>45336.32</v>
      </c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380140.38</v>
      </c>
      <c r="G111" s="41">
        <f>SUM(G96:G110)</f>
        <v>479329.94</v>
      </c>
      <c r="H111" s="41">
        <f>SUM(H96:H110)</f>
        <v>0</v>
      </c>
      <c r="I111" s="41">
        <f>SUM(I96:I110)</f>
        <v>0</v>
      </c>
      <c r="J111" s="41">
        <f>SUM(J96:J110)</f>
        <v>68179.899999999994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29505874.77</v>
      </c>
      <c r="G112" s="41">
        <f>G60+G111</f>
        <v>479329.94</v>
      </c>
      <c r="H112" s="41">
        <f>H60+H79+H94+H111</f>
        <v>0</v>
      </c>
      <c r="I112" s="41">
        <f>I60+I111</f>
        <v>0</v>
      </c>
      <c r="J112" s="41">
        <f>J60+J111</f>
        <v>68179.899999999994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3976880.29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10298059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14274939.289999999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1387032.78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207936.96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228781.2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12236.34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180506.97</v>
      </c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2004257.91</v>
      </c>
      <c r="G136" s="41">
        <f>SUM(G123:G135)</f>
        <v>12236.34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16279197.199999999</v>
      </c>
      <c r="G140" s="41">
        <f>G121+SUM(G136:G137)</f>
        <v>12236.34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702691.86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243086.89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150270.69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123905.11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496073.13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439536.63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222735.14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222735.14</v>
      </c>
      <c r="G162" s="41">
        <f>SUM(G150:G161)</f>
        <v>496073.13</v>
      </c>
      <c r="H162" s="41">
        <f>SUM(H150:H161)</f>
        <v>1659491.1800000002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222735.14</v>
      </c>
      <c r="G169" s="41">
        <f>G147+G162+SUM(G163:G168)</f>
        <v>496073.13</v>
      </c>
      <c r="H169" s="41">
        <f>H147+H162+SUM(H163:H168)</f>
        <v>1659491.1800000002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60000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>
        <v>205.31</v>
      </c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205.31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60000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205.31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60000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46008012.420000002</v>
      </c>
      <c r="G193" s="47">
        <f>G112+G140+G169+G192</f>
        <v>987639.41</v>
      </c>
      <c r="H193" s="47">
        <f>H112+H140+H169+H192</f>
        <v>1659491.1800000002</v>
      </c>
      <c r="I193" s="47">
        <f>I112+I140+I169+I192</f>
        <v>0</v>
      </c>
      <c r="J193" s="47">
        <f>J112+J140+J192</f>
        <v>128179.9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5736212.6900000004</v>
      </c>
      <c r="G197" s="18">
        <v>2953344.79</v>
      </c>
      <c r="H197" s="18">
        <v>7719.75</v>
      </c>
      <c r="I197" s="18">
        <v>239662.93</v>
      </c>
      <c r="J197" s="18">
        <v>102722.6</v>
      </c>
      <c r="K197" s="18">
        <v>125</v>
      </c>
      <c r="L197" s="19">
        <f>SUM(F197:K197)</f>
        <v>9039787.7599999998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2696869.59</v>
      </c>
      <c r="G198" s="18">
        <v>1344240.43</v>
      </c>
      <c r="H198" s="18">
        <v>592984.92000000004</v>
      </c>
      <c r="I198" s="18">
        <v>23601.01</v>
      </c>
      <c r="J198" s="18">
        <v>3736.69</v>
      </c>
      <c r="K198" s="18">
        <v>547.5</v>
      </c>
      <c r="L198" s="19">
        <f>SUM(F198:K198)</f>
        <v>4661980.1399999997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19820.52</v>
      </c>
      <c r="G200" s="18">
        <v>3013.57</v>
      </c>
      <c r="H200" s="18"/>
      <c r="I200" s="18"/>
      <c r="J200" s="18"/>
      <c r="K200" s="18"/>
      <c r="L200" s="19">
        <f>SUM(F200:K200)</f>
        <v>22834.09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517963.2</v>
      </c>
      <c r="G202" s="18">
        <v>311319.38</v>
      </c>
      <c r="H202" s="18">
        <v>168252.56</v>
      </c>
      <c r="I202" s="18">
        <v>5890.52</v>
      </c>
      <c r="J202" s="18">
        <v>164.03</v>
      </c>
      <c r="K202" s="18">
        <v>146</v>
      </c>
      <c r="L202" s="19">
        <f t="shared" ref="L202:L208" si="0">SUM(F202:K202)</f>
        <v>1003735.6900000002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396116.34</v>
      </c>
      <c r="G203" s="18">
        <v>271852.71000000002</v>
      </c>
      <c r="H203" s="18">
        <v>40132.61</v>
      </c>
      <c r="I203" s="18">
        <v>90850.06</v>
      </c>
      <c r="J203" s="18">
        <v>25920.48</v>
      </c>
      <c r="K203" s="18">
        <v>20</v>
      </c>
      <c r="L203" s="19">
        <f t="shared" si="0"/>
        <v>824892.2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273739.26</v>
      </c>
      <c r="G204" s="18">
        <v>132238.35</v>
      </c>
      <c r="H204" s="18">
        <v>59211.8</v>
      </c>
      <c r="I204" s="18">
        <v>13810.53</v>
      </c>
      <c r="J204" s="18">
        <v>401.44</v>
      </c>
      <c r="K204" s="18">
        <v>4725.32</v>
      </c>
      <c r="L204" s="19">
        <f t="shared" si="0"/>
        <v>484126.7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764765.42</v>
      </c>
      <c r="G205" s="18">
        <v>481734.85</v>
      </c>
      <c r="H205" s="18">
        <v>140236.35999999999</v>
      </c>
      <c r="I205" s="18">
        <v>6109.29</v>
      </c>
      <c r="J205" s="18">
        <v>11383.19</v>
      </c>
      <c r="K205" s="18">
        <v>1883.5</v>
      </c>
      <c r="L205" s="19">
        <f t="shared" si="0"/>
        <v>1406112.6099999999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149016.65</v>
      </c>
      <c r="G206" s="18">
        <v>72399.53</v>
      </c>
      <c r="H206" s="18">
        <v>12837.68</v>
      </c>
      <c r="I206" s="18">
        <v>7607.53</v>
      </c>
      <c r="J206" s="18">
        <v>640.38</v>
      </c>
      <c r="K206" s="18">
        <v>12513.93</v>
      </c>
      <c r="L206" s="19">
        <f t="shared" si="0"/>
        <v>255015.69999999998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681872.99</v>
      </c>
      <c r="G207" s="18">
        <v>374538.23</v>
      </c>
      <c r="H207" s="18">
        <v>428041.59</v>
      </c>
      <c r="I207" s="18">
        <v>332654.65000000002</v>
      </c>
      <c r="J207" s="18">
        <v>24062.26</v>
      </c>
      <c r="K207" s="18"/>
      <c r="L207" s="19">
        <f t="shared" si="0"/>
        <v>1841169.72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838365.29</v>
      </c>
      <c r="G208" s="18">
        <v>314117.07</v>
      </c>
      <c r="H208" s="18">
        <v>79558.460000000006</v>
      </c>
      <c r="I208" s="18">
        <v>93600.48</v>
      </c>
      <c r="J208" s="18">
        <v>119381.25</v>
      </c>
      <c r="K208" s="18"/>
      <c r="L208" s="19">
        <f t="shared" si="0"/>
        <v>1445022.55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12074741.949999999</v>
      </c>
      <c r="G211" s="41">
        <f t="shared" si="1"/>
        <v>6258798.9100000001</v>
      </c>
      <c r="H211" s="41">
        <f t="shared" si="1"/>
        <v>1528975.73</v>
      </c>
      <c r="I211" s="41">
        <f t="shared" si="1"/>
        <v>813787</v>
      </c>
      <c r="J211" s="41">
        <f t="shared" si="1"/>
        <v>288412.32000000007</v>
      </c>
      <c r="K211" s="41">
        <f t="shared" si="1"/>
        <v>19961.25</v>
      </c>
      <c r="L211" s="41">
        <f t="shared" si="1"/>
        <v>20984677.159999996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2223617.2599999998</v>
      </c>
      <c r="G215" s="18">
        <v>1419168.03</v>
      </c>
      <c r="H215" s="18">
        <v>17722.8</v>
      </c>
      <c r="I215" s="18">
        <v>79009.86</v>
      </c>
      <c r="J215" s="18">
        <v>95843.67</v>
      </c>
      <c r="K215" s="18"/>
      <c r="L215" s="19">
        <f>SUM(F215:K215)</f>
        <v>3835361.6199999996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859800.29</v>
      </c>
      <c r="G216" s="18">
        <v>459836.71</v>
      </c>
      <c r="H216" s="18">
        <v>140639.47</v>
      </c>
      <c r="I216" s="18">
        <v>6708.25</v>
      </c>
      <c r="J216" s="18">
        <v>5514.26</v>
      </c>
      <c r="K216" s="18">
        <v>219</v>
      </c>
      <c r="L216" s="19">
        <f>SUM(F216:K216)</f>
        <v>1472717.98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61749.71</v>
      </c>
      <c r="G218" s="18">
        <v>8429.4</v>
      </c>
      <c r="H218" s="18">
        <v>14666.62</v>
      </c>
      <c r="I218" s="18">
        <v>4935.51</v>
      </c>
      <c r="J218" s="18">
        <v>8732.9500000000007</v>
      </c>
      <c r="K218" s="18"/>
      <c r="L218" s="19">
        <f>SUM(F218:K218)</f>
        <v>98514.189999999988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160117.1</v>
      </c>
      <c r="G220" s="18">
        <v>112946.18</v>
      </c>
      <c r="H220" s="18">
        <v>59944</v>
      </c>
      <c r="I220" s="18">
        <v>2057.2199999999998</v>
      </c>
      <c r="J220" s="18">
        <v>1134.26</v>
      </c>
      <c r="K220" s="18">
        <v>330</v>
      </c>
      <c r="L220" s="19">
        <f t="shared" ref="L220:L226" si="2">SUM(F220:K220)</f>
        <v>336528.76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83046.73</v>
      </c>
      <c r="G221" s="18">
        <v>89235.02</v>
      </c>
      <c r="H221" s="18">
        <v>12880.5</v>
      </c>
      <c r="I221" s="18">
        <v>38800.769999999997</v>
      </c>
      <c r="J221" s="18">
        <v>21346.91</v>
      </c>
      <c r="K221" s="18"/>
      <c r="L221" s="19">
        <f t="shared" si="2"/>
        <v>245309.93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73904.710000000006</v>
      </c>
      <c r="G222" s="18">
        <v>42239.49</v>
      </c>
      <c r="H222" s="18">
        <v>23440.22</v>
      </c>
      <c r="I222" s="18">
        <v>5524.21</v>
      </c>
      <c r="J222" s="18">
        <v>160.58000000000001</v>
      </c>
      <c r="K222" s="18">
        <v>1890.13</v>
      </c>
      <c r="L222" s="19">
        <f t="shared" si="2"/>
        <v>147159.34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274634.65000000002</v>
      </c>
      <c r="G223" s="18">
        <v>167557.32999999999</v>
      </c>
      <c r="H223" s="18">
        <v>38157.599999999999</v>
      </c>
      <c r="I223" s="18">
        <v>4111.4799999999996</v>
      </c>
      <c r="J223" s="18">
        <v>2264.52</v>
      </c>
      <c r="K223" s="18">
        <v>1478.97</v>
      </c>
      <c r="L223" s="19">
        <f t="shared" si="2"/>
        <v>488204.54999999993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49951.46</v>
      </c>
      <c r="G224" s="18">
        <v>25859.14</v>
      </c>
      <c r="H224" s="18">
        <v>5135.07</v>
      </c>
      <c r="I224" s="18">
        <v>3043.01</v>
      </c>
      <c r="J224" s="18">
        <v>256.14999999999998</v>
      </c>
      <c r="K224" s="18">
        <v>739.05</v>
      </c>
      <c r="L224" s="19">
        <f t="shared" si="2"/>
        <v>84983.88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198042.92</v>
      </c>
      <c r="G225" s="18">
        <v>124106.17</v>
      </c>
      <c r="H225" s="18">
        <v>130690.15</v>
      </c>
      <c r="I225" s="18">
        <v>137193.1</v>
      </c>
      <c r="J225" s="18">
        <v>4014.84</v>
      </c>
      <c r="K225" s="18"/>
      <c r="L225" s="19">
        <f t="shared" si="2"/>
        <v>594047.17999999993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49550.74</v>
      </c>
      <c r="G226" s="18">
        <v>123644.39</v>
      </c>
      <c r="H226" s="18">
        <v>31823.38</v>
      </c>
      <c r="I226" s="18">
        <v>45075.77</v>
      </c>
      <c r="J226" s="18">
        <v>47752.5</v>
      </c>
      <c r="K226" s="18"/>
      <c r="L226" s="19">
        <f t="shared" si="2"/>
        <v>297846.78000000003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4034415.57</v>
      </c>
      <c r="G229" s="41">
        <f>SUM(G215:G228)</f>
        <v>2573021.8600000003</v>
      </c>
      <c r="H229" s="41">
        <f>SUM(H215:H228)</f>
        <v>475099.80999999994</v>
      </c>
      <c r="I229" s="41">
        <f>SUM(I215:I228)</f>
        <v>326459.18000000005</v>
      </c>
      <c r="J229" s="41">
        <f>SUM(J215:J228)</f>
        <v>187020.63999999996</v>
      </c>
      <c r="K229" s="41">
        <f t="shared" si="3"/>
        <v>4657.1500000000005</v>
      </c>
      <c r="L229" s="41">
        <f t="shared" si="3"/>
        <v>7600674.209999999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3238447.8</v>
      </c>
      <c r="G233" s="18">
        <v>2307142.62</v>
      </c>
      <c r="H233" s="18">
        <v>228885.5</v>
      </c>
      <c r="I233" s="18">
        <v>137131.26</v>
      </c>
      <c r="J233" s="18">
        <v>92225.63</v>
      </c>
      <c r="K233" s="18"/>
      <c r="L233" s="19">
        <f>SUM(F233:K233)</f>
        <v>6003832.8099999996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784866.67</v>
      </c>
      <c r="G234" s="18">
        <v>709648.97</v>
      </c>
      <c r="H234" s="18">
        <v>399904.03</v>
      </c>
      <c r="I234" s="18">
        <v>7121.98</v>
      </c>
      <c r="J234" s="18">
        <v>1167.68</v>
      </c>
      <c r="K234" s="18">
        <v>328.5</v>
      </c>
      <c r="L234" s="19">
        <f>SUM(F234:K234)</f>
        <v>1903037.83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790873.52</v>
      </c>
      <c r="G235" s="18">
        <v>439271.49</v>
      </c>
      <c r="H235" s="18">
        <v>10508.58</v>
      </c>
      <c r="I235" s="18">
        <v>35412.57</v>
      </c>
      <c r="J235" s="18">
        <v>13919.4</v>
      </c>
      <c r="K235" s="18">
        <v>780</v>
      </c>
      <c r="L235" s="19">
        <f>SUM(F235:K235)</f>
        <v>1290765.56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302725.67</v>
      </c>
      <c r="G236" s="18">
        <v>52919.48</v>
      </c>
      <c r="H236" s="18">
        <v>104724.16</v>
      </c>
      <c r="I236" s="18">
        <v>14296.64</v>
      </c>
      <c r="J236" s="18">
        <v>62848.42</v>
      </c>
      <c r="K236" s="18">
        <v>10490.5</v>
      </c>
      <c r="L236" s="19">
        <f>SUM(F236:K236)</f>
        <v>548004.87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430488.89</v>
      </c>
      <c r="G238" s="18">
        <v>239240.83</v>
      </c>
      <c r="H238" s="18">
        <v>55590.83</v>
      </c>
      <c r="I238" s="18">
        <v>5974.89</v>
      </c>
      <c r="J238" s="18">
        <v>3754.33</v>
      </c>
      <c r="K238" s="18">
        <v>25</v>
      </c>
      <c r="L238" s="19">
        <f t="shared" ref="L238:L244" si="4">SUM(F238:K238)</f>
        <v>735074.7699999999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192305.72</v>
      </c>
      <c r="G239" s="18">
        <v>161568.03</v>
      </c>
      <c r="H239" s="18">
        <v>27782.85</v>
      </c>
      <c r="I239" s="18">
        <v>65408.87</v>
      </c>
      <c r="J239" s="18">
        <v>27137.94</v>
      </c>
      <c r="K239" s="18">
        <v>1601</v>
      </c>
      <c r="L239" s="19">
        <f t="shared" si="4"/>
        <v>475804.41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143504.87</v>
      </c>
      <c r="G240" s="18">
        <v>80217.48</v>
      </c>
      <c r="H240" s="18">
        <v>35160.33</v>
      </c>
      <c r="I240" s="18">
        <v>8286.32</v>
      </c>
      <c r="J240" s="18">
        <v>240.86</v>
      </c>
      <c r="K240" s="18">
        <v>2835.19</v>
      </c>
      <c r="L240" s="19">
        <f t="shared" si="4"/>
        <v>270245.05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437700.03</v>
      </c>
      <c r="G241" s="18">
        <v>301029.59999999998</v>
      </c>
      <c r="H241" s="18">
        <v>105472.95</v>
      </c>
      <c r="I241" s="18">
        <v>19310.669999999998</v>
      </c>
      <c r="J241" s="18">
        <v>608</v>
      </c>
      <c r="K241" s="18">
        <v>3584.75</v>
      </c>
      <c r="L241" s="19">
        <f t="shared" si="4"/>
        <v>867706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96963.89</v>
      </c>
      <c r="G242" s="18">
        <v>48939.21</v>
      </c>
      <c r="H242" s="18">
        <v>7702.61</v>
      </c>
      <c r="I242" s="18">
        <v>7798.6</v>
      </c>
      <c r="J242" s="18">
        <v>384.23</v>
      </c>
      <c r="K242" s="18">
        <v>1108.57</v>
      </c>
      <c r="L242" s="19">
        <f t="shared" si="4"/>
        <v>162897.11000000002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389590.96</v>
      </c>
      <c r="G243" s="18">
        <v>241708.02</v>
      </c>
      <c r="H243" s="18">
        <v>362996.98</v>
      </c>
      <c r="I243" s="18">
        <v>326450.36</v>
      </c>
      <c r="J243" s="18">
        <v>8883.02</v>
      </c>
      <c r="K243" s="18"/>
      <c r="L243" s="19">
        <f t="shared" si="4"/>
        <v>1329629.3399999999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110750.24</v>
      </c>
      <c r="G244" s="18">
        <v>78337.41</v>
      </c>
      <c r="H244" s="18">
        <v>54932.13</v>
      </c>
      <c r="I244" s="18">
        <v>81179.179999999993</v>
      </c>
      <c r="J244" s="18">
        <v>71628.75</v>
      </c>
      <c r="K244" s="18"/>
      <c r="L244" s="19">
        <f t="shared" si="4"/>
        <v>396827.71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6918218.2599999998</v>
      </c>
      <c r="G247" s="41">
        <f t="shared" si="5"/>
        <v>4660023.1399999997</v>
      </c>
      <c r="H247" s="41">
        <f t="shared" si="5"/>
        <v>1393660.9499999997</v>
      </c>
      <c r="I247" s="41">
        <f t="shared" si="5"/>
        <v>708371.33999999985</v>
      </c>
      <c r="J247" s="41">
        <f t="shared" si="5"/>
        <v>282798.26</v>
      </c>
      <c r="K247" s="41">
        <f t="shared" si="5"/>
        <v>20753.510000000002</v>
      </c>
      <c r="L247" s="41">
        <f t="shared" si="5"/>
        <v>13983825.459999999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9765.08</v>
      </c>
      <c r="G251" s="18">
        <v>737.43</v>
      </c>
      <c r="H251" s="18"/>
      <c r="I251" s="18"/>
      <c r="J251" s="18"/>
      <c r="K251" s="18"/>
      <c r="L251" s="19">
        <f t="shared" si="6"/>
        <v>10502.51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>
        <v>5967.74</v>
      </c>
      <c r="I253" s="18"/>
      <c r="J253" s="18"/>
      <c r="K253" s="18"/>
      <c r="L253" s="19">
        <f t="shared" si="6"/>
        <v>5967.74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>
        <v>141674.98000000001</v>
      </c>
      <c r="K255" s="18"/>
      <c r="L255" s="19">
        <f t="shared" si="6"/>
        <v>141674.98000000001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9765.08</v>
      </c>
      <c r="G256" s="41">
        <f t="shared" si="7"/>
        <v>737.43</v>
      </c>
      <c r="H256" s="41">
        <f t="shared" si="7"/>
        <v>5967.74</v>
      </c>
      <c r="I256" s="41">
        <f t="shared" si="7"/>
        <v>0</v>
      </c>
      <c r="J256" s="41">
        <f t="shared" si="7"/>
        <v>141674.98000000001</v>
      </c>
      <c r="K256" s="41">
        <f t="shared" si="7"/>
        <v>0</v>
      </c>
      <c r="L256" s="41">
        <f>SUM(F256:K256)</f>
        <v>158145.23000000001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23037140.859999999</v>
      </c>
      <c r="G257" s="41">
        <f t="shared" si="8"/>
        <v>13492581.34</v>
      </c>
      <c r="H257" s="41">
        <f t="shared" si="8"/>
        <v>3403704.23</v>
      </c>
      <c r="I257" s="41">
        <f t="shared" si="8"/>
        <v>1848617.52</v>
      </c>
      <c r="J257" s="41">
        <f t="shared" si="8"/>
        <v>899906.2</v>
      </c>
      <c r="K257" s="41">
        <f t="shared" si="8"/>
        <v>45371.91</v>
      </c>
      <c r="L257" s="41">
        <f t="shared" si="8"/>
        <v>42727322.059999995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2737111.86</v>
      </c>
      <c r="L260" s="19">
        <f>SUM(F260:K260)</f>
        <v>2737111.86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1005636.48</v>
      </c>
      <c r="L261" s="19">
        <f>SUM(F261:K261)</f>
        <v>1005636.48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60000</v>
      </c>
      <c r="L266" s="19">
        <f t="shared" si="9"/>
        <v>60000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3802748.34</v>
      </c>
      <c r="L270" s="41">
        <f t="shared" si="9"/>
        <v>3802748.34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23037140.859999999</v>
      </c>
      <c r="G271" s="42">
        <f t="shared" si="11"/>
        <v>13492581.34</v>
      </c>
      <c r="H271" s="42">
        <f t="shared" si="11"/>
        <v>3403704.23</v>
      </c>
      <c r="I271" s="42">
        <f t="shared" si="11"/>
        <v>1848617.52</v>
      </c>
      <c r="J271" s="42">
        <f t="shared" si="11"/>
        <v>899906.2</v>
      </c>
      <c r="K271" s="42">
        <f t="shared" si="11"/>
        <v>3848120.25</v>
      </c>
      <c r="L271" s="42">
        <f t="shared" si="11"/>
        <v>46530070.399999991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308192.48</v>
      </c>
      <c r="G276" s="18">
        <v>243645.08</v>
      </c>
      <c r="H276" s="18"/>
      <c r="I276" s="18">
        <v>27411.54</v>
      </c>
      <c r="J276" s="18">
        <v>22890.15</v>
      </c>
      <c r="K276" s="18"/>
      <c r="L276" s="19">
        <f>SUM(F276:K276)</f>
        <v>602139.25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101952.77</v>
      </c>
      <c r="G277" s="18">
        <v>63279.35</v>
      </c>
      <c r="H277" s="18">
        <v>8697.5</v>
      </c>
      <c r="I277" s="18">
        <v>1169.05</v>
      </c>
      <c r="J277" s="18">
        <v>10410.43</v>
      </c>
      <c r="K277" s="18"/>
      <c r="L277" s="19">
        <f>SUM(F277:K277)</f>
        <v>185509.09999999998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16945</v>
      </c>
      <c r="G279" s="18">
        <v>3849.66</v>
      </c>
      <c r="H279" s="18"/>
      <c r="I279" s="18">
        <v>1433.59</v>
      </c>
      <c r="J279" s="18"/>
      <c r="K279" s="18"/>
      <c r="L279" s="19">
        <f>SUM(F279:K279)</f>
        <v>22228.25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12880</v>
      </c>
      <c r="I281" s="18"/>
      <c r="J281" s="18"/>
      <c r="K281" s="18"/>
      <c r="L281" s="19">
        <f t="shared" ref="L281:L287" si="12">SUM(F281:K281)</f>
        <v>12880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64698.96</v>
      </c>
      <c r="G282" s="18">
        <v>32882.74</v>
      </c>
      <c r="H282" s="18">
        <v>61054.52</v>
      </c>
      <c r="I282" s="18">
        <v>22594.13</v>
      </c>
      <c r="J282" s="18">
        <v>563.5</v>
      </c>
      <c r="K282" s="18"/>
      <c r="L282" s="19">
        <f t="shared" si="12"/>
        <v>181793.85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7969.43</v>
      </c>
      <c r="I287" s="18"/>
      <c r="J287" s="18"/>
      <c r="K287" s="18"/>
      <c r="L287" s="19">
        <f t="shared" si="12"/>
        <v>7969.43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491789.21</v>
      </c>
      <c r="G290" s="42">
        <f t="shared" si="13"/>
        <v>343656.82999999996</v>
      </c>
      <c r="H290" s="42">
        <f t="shared" si="13"/>
        <v>90601.449999999983</v>
      </c>
      <c r="I290" s="42">
        <f t="shared" si="13"/>
        <v>52608.31</v>
      </c>
      <c r="J290" s="42">
        <f t="shared" si="13"/>
        <v>33864.080000000002</v>
      </c>
      <c r="K290" s="42">
        <f t="shared" si="13"/>
        <v>0</v>
      </c>
      <c r="L290" s="41">
        <f t="shared" si="13"/>
        <v>1012519.88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40781.11</v>
      </c>
      <c r="G296" s="18">
        <v>25311.74</v>
      </c>
      <c r="H296" s="18">
        <v>3479</v>
      </c>
      <c r="I296" s="18">
        <v>467.62</v>
      </c>
      <c r="J296" s="18">
        <v>4164.17</v>
      </c>
      <c r="K296" s="18"/>
      <c r="L296" s="19">
        <f>SUM(F296:K296)</f>
        <v>74203.64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>
        <v>5152</v>
      </c>
      <c r="I300" s="18"/>
      <c r="J300" s="18"/>
      <c r="K300" s="18"/>
      <c r="L300" s="19">
        <f t="shared" ref="L300:L306" si="14">SUM(F300:K300)</f>
        <v>5152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2043.76</v>
      </c>
      <c r="G301" s="18">
        <v>372.36</v>
      </c>
      <c r="H301" s="18">
        <v>24071.75</v>
      </c>
      <c r="I301" s="18">
        <v>9037.65</v>
      </c>
      <c r="J301" s="18">
        <v>225.4</v>
      </c>
      <c r="K301" s="18"/>
      <c r="L301" s="19">
        <f t="shared" si="14"/>
        <v>35750.92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42824.87</v>
      </c>
      <c r="G309" s="42">
        <f t="shared" si="15"/>
        <v>25684.100000000002</v>
      </c>
      <c r="H309" s="42">
        <f t="shared" si="15"/>
        <v>32702.75</v>
      </c>
      <c r="I309" s="42">
        <f t="shared" si="15"/>
        <v>9505.27</v>
      </c>
      <c r="J309" s="42">
        <f t="shared" si="15"/>
        <v>4389.57</v>
      </c>
      <c r="K309" s="42">
        <f t="shared" si="15"/>
        <v>0</v>
      </c>
      <c r="L309" s="41">
        <f t="shared" si="15"/>
        <v>115106.56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61171.62</v>
      </c>
      <c r="G315" s="18">
        <v>37967.61</v>
      </c>
      <c r="H315" s="18">
        <v>5218.5</v>
      </c>
      <c r="I315" s="18">
        <v>701.43</v>
      </c>
      <c r="J315" s="18">
        <v>6246.26</v>
      </c>
      <c r="K315" s="18"/>
      <c r="L315" s="19">
        <f>SUM(F315:K315)</f>
        <v>111305.42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17897.439999999999</v>
      </c>
      <c r="G316" s="18">
        <v>1791.64</v>
      </c>
      <c r="H316" s="18">
        <v>18994.259999999998</v>
      </c>
      <c r="I316" s="18">
        <v>1615</v>
      </c>
      <c r="J316" s="18">
        <v>97979.25</v>
      </c>
      <c r="K316" s="18"/>
      <c r="L316" s="19">
        <f>SUM(F316:K316)</f>
        <v>138277.59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>
        <v>7728</v>
      </c>
      <c r="I319" s="18"/>
      <c r="J319" s="18"/>
      <c r="K319" s="18"/>
      <c r="L319" s="19">
        <f t="shared" ref="L319:L325" si="16">SUM(F319:K319)</f>
        <v>7728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3065.64</v>
      </c>
      <c r="G320" s="18">
        <v>558.54</v>
      </c>
      <c r="H320" s="18">
        <v>36107.629999999997</v>
      </c>
      <c r="I320" s="18">
        <v>13556.48</v>
      </c>
      <c r="J320" s="18">
        <v>338.1</v>
      </c>
      <c r="K320" s="18">
        <v>4389.95</v>
      </c>
      <c r="L320" s="19">
        <f t="shared" si="16"/>
        <v>58016.339999999989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>
        <v>6640</v>
      </c>
      <c r="G326" s="18">
        <v>603.80999999999995</v>
      </c>
      <c r="H326" s="18"/>
      <c r="I326" s="18">
        <v>150.24</v>
      </c>
      <c r="J326" s="18"/>
      <c r="K326" s="18"/>
      <c r="L326" s="19">
        <f>SUM(F326:K326)</f>
        <v>7394.0499999999993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88774.7</v>
      </c>
      <c r="G328" s="42">
        <f t="shared" si="17"/>
        <v>40921.599999999999</v>
      </c>
      <c r="H328" s="42">
        <f t="shared" si="17"/>
        <v>68048.39</v>
      </c>
      <c r="I328" s="42">
        <f t="shared" si="17"/>
        <v>16023.15</v>
      </c>
      <c r="J328" s="42">
        <f t="shared" si="17"/>
        <v>104563.61</v>
      </c>
      <c r="K328" s="42">
        <f t="shared" si="17"/>
        <v>4389.95</v>
      </c>
      <c r="L328" s="41">
        <f t="shared" si="17"/>
        <v>322721.39999999997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59480</v>
      </c>
      <c r="G333" s="18">
        <v>38337.5</v>
      </c>
      <c r="H333" s="18">
        <v>19379.52</v>
      </c>
      <c r="I333" s="18">
        <v>4616.6000000000004</v>
      </c>
      <c r="J333" s="18"/>
      <c r="K333" s="18">
        <v>2091.4899999999998</v>
      </c>
      <c r="L333" s="19">
        <f t="shared" si="18"/>
        <v>123905.11000000002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>
        <v>41637.839999999997</v>
      </c>
      <c r="G335" s="18">
        <v>42774.11</v>
      </c>
      <c r="H335" s="18">
        <v>150</v>
      </c>
      <c r="I335" s="18">
        <v>467.18</v>
      </c>
      <c r="J335" s="18"/>
      <c r="K335" s="18"/>
      <c r="L335" s="19">
        <f t="shared" si="18"/>
        <v>85029.12999999999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101117.84</v>
      </c>
      <c r="G337" s="41">
        <f t="shared" si="19"/>
        <v>81111.61</v>
      </c>
      <c r="H337" s="41">
        <f t="shared" si="19"/>
        <v>19529.52</v>
      </c>
      <c r="I337" s="41">
        <f t="shared" si="19"/>
        <v>5083.7800000000007</v>
      </c>
      <c r="J337" s="41">
        <f t="shared" si="19"/>
        <v>0</v>
      </c>
      <c r="K337" s="41">
        <f t="shared" si="19"/>
        <v>2091.4899999999998</v>
      </c>
      <c r="L337" s="41">
        <f t="shared" si="18"/>
        <v>208934.24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724506.62</v>
      </c>
      <c r="G338" s="41">
        <f t="shared" si="20"/>
        <v>491374.1399999999</v>
      </c>
      <c r="H338" s="41">
        <f t="shared" si="20"/>
        <v>210882.10999999996</v>
      </c>
      <c r="I338" s="41">
        <f t="shared" si="20"/>
        <v>83220.509999999995</v>
      </c>
      <c r="J338" s="41">
        <f t="shared" si="20"/>
        <v>142817.26</v>
      </c>
      <c r="K338" s="41">
        <f t="shared" si="20"/>
        <v>6481.44</v>
      </c>
      <c r="L338" s="41">
        <f t="shared" si="20"/>
        <v>1659282.0799999998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209.1</v>
      </c>
      <c r="L344" s="19">
        <f t="shared" ref="L344:L350" si="21">SUM(F344:K344)</f>
        <v>209.1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209.1</v>
      </c>
      <c r="L351" s="41">
        <f>SUM(L341:L350)</f>
        <v>209.1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724506.62</v>
      </c>
      <c r="G352" s="41">
        <f>G338</f>
        <v>491374.1399999999</v>
      </c>
      <c r="H352" s="41">
        <f>H338</f>
        <v>210882.10999999996</v>
      </c>
      <c r="I352" s="41">
        <f>I338</f>
        <v>83220.509999999995</v>
      </c>
      <c r="J352" s="41">
        <f>J338</f>
        <v>142817.26</v>
      </c>
      <c r="K352" s="47">
        <f>K338+K351</f>
        <v>6690.54</v>
      </c>
      <c r="L352" s="41">
        <f>L338+L351</f>
        <v>1659491.18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198183.96</v>
      </c>
      <c r="G358" s="18">
        <v>21627.78</v>
      </c>
      <c r="H358" s="18">
        <v>5262.23</v>
      </c>
      <c r="I358" s="18">
        <v>200660.09</v>
      </c>
      <c r="J358" s="18">
        <v>1242.6500000000001</v>
      </c>
      <c r="K358" s="18"/>
      <c r="L358" s="13">
        <f>SUM(F358:K358)</f>
        <v>426976.71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49960.27</v>
      </c>
      <c r="G359" s="18">
        <v>6554.46</v>
      </c>
      <c r="H359" s="18">
        <v>2104.89</v>
      </c>
      <c r="I359" s="18">
        <v>67020.47</v>
      </c>
      <c r="J359" s="18">
        <v>497.06</v>
      </c>
      <c r="K359" s="18"/>
      <c r="L359" s="19">
        <f>SUM(F359:K359)</f>
        <v>126137.15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225185.39</v>
      </c>
      <c r="G360" s="18">
        <v>34617.85</v>
      </c>
      <c r="H360" s="18">
        <v>3157.34</v>
      </c>
      <c r="I360" s="18">
        <v>133639.62</v>
      </c>
      <c r="J360" s="18">
        <v>745.59</v>
      </c>
      <c r="K360" s="18"/>
      <c r="L360" s="19">
        <f>SUM(F360:K360)</f>
        <v>397345.79000000004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473329.62</v>
      </c>
      <c r="G362" s="47">
        <f t="shared" si="22"/>
        <v>62800.09</v>
      </c>
      <c r="H362" s="47">
        <f t="shared" si="22"/>
        <v>10524.46</v>
      </c>
      <c r="I362" s="47">
        <f t="shared" si="22"/>
        <v>401320.18</v>
      </c>
      <c r="J362" s="47">
        <f t="shared" si="22"/>
        <v>2485.3000000000002</v>
      </c>
      <c r="K362" s="47">
        <f t="shared" si="22"/>
        <v>0</v>
      </c>
      <c r="L362" s="47">
        <f t="shared" si="22"/>
        <v>950459.65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186442.31</v>
      </c>
      <c r="G367" s="18">
        <v>62271.73</v>
      </c>
      <c r="H367" s="18">
        <v>124170.58</v>
      </c>
      <c r="I367" s="56">
        <f>SUM(F367:H367)</f>
        <v>372884.62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14217.78</v>
      </c>
      <c r="G368" s="63">
        <v>4748.74</v>
      </c>
      <c r="H368" s="63">
        <v>9469.0400000000009</v>
      </c>
      <c r="I368" s="56">
        <f>SUM(F368:H368)</f>
        <v>28435.56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200660.09</v>
      </c>
      <c r="G369" s="47">
        <f>SUM(G367:G368)</f>
        <v>67020.47</v>
      </c>
      <c r="H369" s="47">
        <f>SUM(H367:H368)</f>
        <v>133639.62</v>
      </c>
      <c r="I369" s="47">
        <f>SUM(I367:I368)</f>
        <v>401320.18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>
        <v>65388.04</v>
      </c>
      <c r="K379" s="18"/>
      <c r="L379" s="13">
        <f t="shared" si="23"/>
        <v>65388.04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65388.04</v>
      </c>
      <c r="K382" s="47">
        <f t="shared" si="24"/>
        <v>0</v>
      </c>
      <c r="L382" s="47">
        <f t="shared" si="24"/>
        <v>65388.04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>
        <v>66.06</v>
      </c>
      <c r="I395" s="18"/>
      <c r="J395" s="24" t="s">
        <v>288</v>
      </c>
      <c r="K395" s="24" t="s">
        <v>288</v>
      </c>
      <c r="L395" s="56">
        <f t="shared" ref="L395:L400" si="26">SUM(F395:K395)</f>
        <v>66.06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1325.79</v>
      </c>
      <c r="I396" s="18">
        <v>1942.24</v>
      </c>
      <c r="J396" s="24" t="s">
        <v>288</v>
      </c>
      <c r="K396" s="24" t="s">
        <v>288</v>
      </c>
      <c r="L396" s="56">
        <f t="shared" si="26"/>
        <v>3268.0299999999997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1407.69</v>
      </c>
      <c r="I397" s="18">
        <v>2062.21</v>
      </c>
      <c r="J397" s="24" t="s">
        <v>288</v>
      </c>
      <c r="K397" s="24" t="s">
        <v>288</v>
      </c>
      <c r="L397" s="56">
        <f t="shared" si="26"/>
        <v>3469.9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v>60000</v>
      </c>
      <c r="H400" s="18">
        <v>12284.36</v>
      </c>
      <c r="I400" s="18">
        <v>49091.55</v>
      </c>
      <c r="J400" s="24" t="s">
        <v>288</v>
      </c>
      <c r="K400" s="24" t="s">
        <v>288</v>
      </c>
      <c r="L400" s="56">
        <f t="shared" si="26"/>
        <v>121375.91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60000</v>
      </c>
      <c r="H401" s="47">
        <f>SUM(H395:H400)</f>
        <v>15083.900000000001</v>
      </c>
      <c r="I401" s="47">
        <f>SUM(I395:I400)</f>
        <v>53096</v>
      </c>
      <c r="J401" s="45" t="s">
        <v>288</v>
      </c>
      <c r="K401" s="45" t="s">
        <v>288</v>
      </c>
      <c r="L401" s="47">
        <f>SUM(L395:L400)</f>
        <v>128179.90000000001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60000</v>
      </c>
      <c r="H408" s="47">
        <f>H393+H401+H407</f>
        <v>15083.900000000001</v>
      </c>
      <c r="I408" s="47">
        <f>I393+I401+I407</f>
        <v>53096</v>
      </c>
      <c r="J408" s="24" t="s">
        <v>288</v>
      </c>
      <c r="K408" s="24" t="s">
        <v>288</v>
      </c>
      <c r="L408" s="47">
        <f>L393+L401+L407</f>
        <v>128179.90000000001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>
        <v>24233.49</v>
      </c>
      <c r="L426" s="56">
        <f t="shared" si="29"/>
        <v>24233.49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24233.49</v>
      </c>
      <c r="L427" s="47">
        <f t="shared" si="30"/>
        <v>24233.49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24233.49</v>
      </c>
      <c r="L434" s="47">
        <f t="shared" si="32"/>
        <v>24233.49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>
        <v>44108.76</v>
      </c>
      <c r="H441" s="18"/>
      <c r="I441" s="56">
        <f t="shared" si="33"/>
        <v>44108.76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>
        <v>1459043.01</v>
      </c>
      <c r="H442" s="18"/>
      <c r="I442" s="56">
        <f t="shared" si="33"/>
        <v>1459043.01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1503151.77</v>
      </c>
      <c r="H446" s="13">
        <f>SUM(H439:H445)</f>
        <v>0</v>
      </c>
      <c r="I446" s="13">
        <f>SUM(I439:I445)</f>
        <v>1503151.77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1503151.77</v>
      </c>
      <c r="H459" s="18"/>
      <c r="I459" s="56">
        <f t="shared" si="34"/>
        <v>1503151.77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1503151.77</v>
      </c>
      <c r="H460" s="83">
        <f>SUM(H454:H459)</f>
        <v>0</v>
      </c>
      <c r="I460" s="83">
        <f>SUM(I454:I459)</f>
        <v>1503151.77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1503151.77</v>
      </c>
      <c r="H461" s="42">
        <f>H452+H460</f>
        <v>0</v>
      </c>
      <c r="I461" s="42">
        <f>I452+I460</f>
        <v>1503151.77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1764257.49</v>
      </c>
      <c r="G465" s="18">
        <v>28883.05</v>
      </c>
      <c r="H465" s="18"/>
      <c r="I465" s="18">
        <v>65388.04</v>
      </c>
      <c r="J465" s="18">
        <v>1399205.36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46008012.420000002</v>
      </c>
      <c r="G468" s="18">
        <v>987639.41</v>
      </c>
      <c r="H468" s="18">
        <v>1659491.18</v>
      </c>
      <c r="I468" s="18"/>
      <c r="J468" s="18">
        <v>128179.9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46008012.420000002</v>
      </c>
      <c r="G470" s="53">
        <f>SUM(G468:G469)</f>
        <v>987639.41</v>
      </c>
      <c r="H470" s="53">
        <f>SUM(H468:H469)</f>
        <v>1659491.18</v>
      </c>
      <c r="I470" s="53">
        <f>SUM(I468:I469)</f>
        <v>0</v>
      </c>
      <c r="J470" s="53">
        <f>SUM(J468:J469)</f>
        <v>128179.9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46530070.399999999</v>
      </c>
      <c r="G472" s="18">
        <v>950459.65</v>
      </c>
      <c r="H472" s="18">
        <v>1659491.18</v>
      </c>
      <c r="I472" s="18">
        <v>65388.04</v>
      </c>
      <c r="J472" s="18">
        <v>24233.49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46530070.399999999</v>
      </c>
      <c r="G474" s="53">
        <f>SUM(G472:G473)</f>
        <v>950459.65</v>
      </c>
      <c r="H474" s="53">
        <f>SUM(H472:H473)</f>
        <v>1659491.18</v>
      </c>
      <c r="I474" s="53">
        <f>SUM(I472:I473)</f>
        <v>65388.04</v>
      </c>
      <c r="J474" s="53">
        <f>SUM(J472:J473)</f>
        <v>24233.49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1242199.5100000054</v>
      </c>
      <c r="G476" s="53">
        <f>(G465+G470)- G474</f>
        <v>66062.810000000056</v>
      </c>
      <c r="H476" s="53">
        <f>(H465+H470)- H474</f>
        <v>0</v>
      </c>
      <c r="I476" s="53">
        <f>(I465+I470)- I474</f>
        <v>0</v>
      </c>
      <c r="J476" s="53">
        <f>(J465+J470)- J474</f>
        <v>1503151.77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30</v>
      </c>
      <c r="G490" s="154">
        <v>30</v>
      </c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 t="s">
        <v>914</v>
      </c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915</v>
      </c>
      <c r="G492" s="155" t="s">
        <v>916</v>
      </c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25000000</v>
      </c>
      <c r="G493" s="18">
        <v>325508500</v>
      </c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4.3</v>
      </c>
      <c r="G494" s="18">
        <v>4.46</v>
      </c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16962166.550000001</v>
      </c>
      <c r="G495" s="18">
        <v>22640104.899999999</v>
      </c>
      <c r="H495" s="18"/>
      <c r="I495" s="18"/>
      <c r="J495" s="18"/>
      <c r="K495" s="53">
        <f>SUM(F495:J495)</f>
        <v>39602271.450000003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f>F495-F498</f>
        <v>1115835.6000000015</v>
      </c>
      <c r="G497" s="18">
        <f>G495-G498</f>
        <v>1555259.3599999994</v>
      </c>
      <c r="H497" s="18"/>
      <c r="I497" s="18"/>
      <c r="J497" s="18"/>
      <c r="K497" s="53">
        <f t="shared" si="35"/>
        <v>2671094.9600000009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15846330.949999999</v>
      </c>
      <c r="G498" s="204">
        <v>21084845.539999999</v>
      </c>
      <c r="H498" s="204"/>
      <c r="I498" s="204"/>
      <c r="J498" s="204"/>
      <c r="K498" s="205">
        <f t="shared" si="35"/>
        <v>36931176.489999995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18584742.59</v>
      </c>
      <c r="G499" s="18">
        <v>27316460.710000001</v>
      </c>
      <c r="H499" s="18"/>
      <c r="I499" s="18"/>
      <c r="J499" s="18"/>
      <c r="K499" s="53">
        <f t="shared" si="35"/>
        <v>45901203.299999997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34431073.539999999</v>
      </c>
      <c r="G500" s="42">
        <f>SUM(G498:G499)</f>
        <v>48401306.25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82832379.789999992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1069019.78</v>
      </c>
      <c r="G501" s="204">
        <v>1483928.4</v>
      </c>
      <c r="H501" s="204"/>
      <c r="I501" s="204"/>
      <c r="J501" s="204"/>
      <c r="K501" s="205">
        <f t="shared" si="35"/>
        <v>2552948.1799999997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428674.47</v>
      </c>
      <c r="G502" s="18">
        <v>621684.1</v>
      </c>
      <c r="H502" s="18"/>
      <c r="I502" s="18"/>
      <c r="J502" s="18"/>
      <c r="K502" s="53">
        <f t="shared" si="35"/>
        <v>1050358.5699999998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1497694.25</v>
      </c>
      <c r="G503" s="42">
        <f>SUM(G501:G502)</f>
        <v>2105612.5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3603306.75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>
        <v>902669.17</v>
      </c>
      <c r="G507" s="144">
        <v>187261.26</v>
      </c>
      <c r="H507" s="144">
        <v>117050.28</v>
      </c>
      <c r="I507" s="144">
        <v>972880.3</v>
      </c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>
        <v>867743</v>
      </c>
      <c r="G511" s="24" t="s">
        <v>288</v>
      </c>
      <c r="H511" s="18">
        <v>867743</v>
      </c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>
        <v>68693606.430000007</v>
      </c>
      <c r="G513" s="24" t="s">
        <v>288</v>
      </c>
      <c r="H513" s="18">
        <v>66455842.310000002</v>
      </c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>
        <v>934380</v>
      </c>
      <c r="G514" s="24" t="s">
        <v>288</v>
      </c>
      <c r="H514" s="18">
        <v>845271.53</v>
      </c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70495729.430000007</v>
      </c>
      <c r="G517" s="42">
        <f>SUM(G511:G516)</f>
        <v>0</v>
      </c>
      <c r="H517" s="42">
        <f>SUM(H511:H516)</f>
        <v>68168856.840000004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1454541.47</v>
      </c>
      <c r="G521" s="18">
        <v>844891.14</v>
      </c>
      <c r="H521" s="18">
        <v>367679.4</v>
      </c>
      <c r="I521" s="18">
        <v>12726.19</v>
      </c>
      <c r="J521" s="18">
        <v>9996.64</v>
      </c>
      <c r="K521" s="18">
        <v>350.4</v>
      </c>
      <c r="L521" s="88">
        <f>SUM(F521:K521)</f>
        <v>2690185.2399999998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494544.1</v>
      </c>
      <c r="G522" s="18">
        <v>287262.99</v>
      </c>
      <c r="H522" s="18">
        <v>125011</v>
      </c>
      <c r="I522" s="18">
        <v>4326.8999999999996</v>
      </c>
      <c r="J522" s="18">
        <v>3398.86</v>
      </c>
      <c r="K522" s="18">
        <v>119.14</v>
      </c>
      <c r="L522" s="88">
        <f>SUM(F522:K522)</f>
        <v>914662.99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959997.37</v>
      </c>
      <c r="G523" s="18">
        <v>557628.15</v>
      </c>
      <c r="H523" s="18">
        <v>242668.4</v>
      </c>
      <c r="I523" s="18">
        <v>8399.2800000000007</v>
      </c>
      <c r="J523" s="18">
        <v>6597.78</v>
      </c>
      <c r="K523" s="18">
        <v>231.26</v>
      </c>
      <c r="L523" s="88">
        <f>SUM(F523:K523)</f>
        <v>1775522.24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2909082.94</v>
      </c>
      <c r="G524" s="108">
        <f t="shared" ref="G524:L524" si="36">SUM(G521:G523)</f>
        <v>1689782.2799999998</v>
      </c>
      <c r="H524" s="108">
        <f t="shared" si="36"/>
        <v>735358.8</v>
      </c>
      <c r="I524" s="108">
        <f t="shared" si="36"/>
        <v>25452.370000000003</v>
      </c>
      <c r="J524" s="108">
        <f t="shared" si="36"/>
        <v>19993.28</v>
      </c>
      <c r="K524" s="108">
        <f t="shared" si="36"/>
        <v>700.8</v>
      </c>
      <c r="L524" s="89">
        <f t="shared" si="36"/>
        <v>5380370.4699999997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681816.31</v>
      </c>
      <c r="G526" s="18">
        <v>396042.72</v>
      </c>
      <c r="H526" s="18">
        <v>172349.72</v>
      </c>
      <c r="I526" s="18">
        <v>5965.4</v>
      </c>
      <c r="J526" s="18">
        <v>4685.92</v>
      </c>
      <c r="K526" s="18">
        <v>164.25</v>
      </c>
      <c r="L526" s="88">
        <f>SUM(F526:K526)</f>
        <v>1261024.3199999998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231817.55</v>
      </c>
      <c r="G527" s="18">
        <v>134654.51999999999</v>
      </c>
      <c r="H527" s="18">
        <v>58598.9</v>
      </c>
      <c r="I527" s="18">
        <v>2028.24</v>
      </c>
      <c r="J527" s="18">
        <v>1593.21</v>
      </c>
      <c r="K527" s="18">
        <v>55.85</v>
      </c>
      <c r="L527" s="88">
        <f>SUM(F527:K527)</f>
        <v>428748.26999999996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449998.77</v>
      </c>
      <c r="G528" s="18">
        <v>261388.2</v>
      </c>
      <c r="H528" s="18">
        <v>113750.81</v>
      </c>
      <c r="I528" s="18">
        <v>3937.16</v>
      </c>
      <c r="J528" s="18">
        <v>3092.71</v>
      </c>
      <c r="K528" s="18">
        <v>108.41</v>
      </c>
      <c r="L528" s="88">
        <f>SUM(F528:K528)</f>
        <v>832276.06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1363632.6300000001</v>
      </c>
      <c r="G529" s="89">
        <f t="shared" ref="G529:L529" si="37">SUM(G526:G528)</f>
        <v>792085.44</v>
      </c>
      <c r="H529" s="89">
        <f t="shared" si="37"/>
        <v>344699.43</v>
      </c>
      <c r="I529" s="89">
        <f t="shared" si="37"/>
        <v>11930.8</v>
      </c>
      <c r="J529" s="89">
        <f t="shared" si="37"/>
        <v>9371.84</v>
      </c>
      <c r="K529" s="89">
        <f t="shared" si="37"/>
        <v>328.51</v>
      </c>
      <c r="L529" s="89">
        <f t="shared" si="37"/>
        <v>2522048.65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136363.26</v>
      </c>
      <c r="G531" s="18">
        <v>79208.539999999994</v>
      </c>
      <c r="H531" s="18">
        <v>34469.94</v>
      </c>
      <c r="I531" s="18">
        <v>1193.08</v>
      </c>
      <c r="J531" s="18">
        <v>937.18</v>
      </c>
      <c r="K531" s="18">
        <v>32.85</v>
      </c>
      <c r="L531" s="88">
        <f>SUM(F531:K531)</f>
        <v>252204.84999999998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46363.51</v>
      </c>
      <c r="G532" s="18">
        <v>26930.9</v>
      </c>
      <c r="H532" s="18">
        <v>11719.78</v>
      </c>
      <c r="I532" s="18">
        <v>405.65</v>
      </c>
      <c r="J532" s="18">
        <v>318.64</v>
      </c>
      <c r="K532" s="18">
        <v>11.17</v>
      </c>
      <c r="L532" s="88">
        <f>SUM(F532:K532)</f>
        <v>85749.65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89999.75</v>
      </c>
      <c r="G533" s="18">
        <v>52277.64</v>
      </c>
      <c r="H533" s="18">
        <v>22750.16</v>
      </c>
      <c r="I533" s="18">
        <v>787.43</v>
      </c>
      <c r="J533" s="18">
        <v>618.54</v>
      </c>
      <c r="K533" s="18">
        <v>21.68</v>
      </c>
      <c r="L533" s="88">
        <f>SUM(F533:K533)</f>
        <v>166455.20000000001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272726.52</v>
      </c>
      <c r="G534" s="89">
        <f t="shared" ref="G534:L534" si="38">SUM(G531:G533)</f>
        <v>158417.08000000002</v>
      </c>
      <c r="H534" s="89">
        <f t="shared" si="38"/>
        <v>68939.88</v>
      </c>
      <c r="I534" s="89">
        <f t="shared" si="38"/>
        <v>2386.16</v>
      </c>
      <c r="J534" s="89">
        <f t="shared" si="38"/>
        <v>1874.36</v>
      </c>
      <c r="K534" s="89">
        <f t="shared" si="38"/>
        <v>65.7</v>
      </c>
      <c r="L534" s="89">
        <f t="shared" si="38"/>
        <v>504409.7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962.65</v>
      </c>
      <c r="I536" s="18"/>
      <c r="J536" s="18"/>
      <c r="K536" s="18"/>
      <c r="L536" s="88">
        <f>SUM(F536:K536)</f>
        <v>962.65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327.3</v>
      </c>
      <c r="I537" s="18"/>
      <c r="J537" s="18"/>
      <c r="K537" s="18"/>
      <c r="L537" s="88">
        <f>SUM(F537:K537)</f>
        <v>327.3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635.35</v>
      </c>
      <c r="I538" s="18"/>
      <c r="J538" s="18"/>
      <c r="K538" s="18"/>
      <c r="L538" s="88">
        <f>SUM(F538:K538)</f>
        <v>635.35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1925.3000000000002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1925.3000000000002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144167.79999999999</v>
      </c>
      <c r="G541" s="18">
        <v>24835.279999999999</v>
      </c>
      <c r="H541" s="18">
        <v>3598.53</v>
      </c>
      <c r="I541" s="18">
        <v>294.69</v>
      </c>
      <c r="J541" s="18"/>
      <c r="K541" s="18"/>
      <c r="L541" s="88">
        <f>SUM(F541:K541)</f>
        <v>172896.3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49017.05</v>
      </c>
      <c r="G542" s="18">
        <v>8444</v>
      </c>
      <c r="H542" s="18">
        <v>1223.5</v>
      </c>
      <c r="I542" s="18">
        <v>100.19</v>
      </c>
      <c r="J542" s="18"/>
      <c r="K542" s="18"/>
      <c r="L542" s="88">
        <f>SUM(F542:K542)</f>
        <v>58784.740000000005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95150.74</v>
      </c>
      <c r="G543" s="18">
        <v>16391.28</v>
      </c>
      <c r="H543" s="18">
        <v>2375.0300000000002</v>
      </c>
      <c r="I543" s="18">
        <v>194.49</v>
      </c>
      <c r="J543" s="18"/>
      <c r="K543" s="18"/>
      <c r="L543" s="88">
        <f>SUM(F543:K543)</f>
        <v>114111.54000000001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288335.58999999997</v>
      </c>
      <c r="G544" s="193">
        <f t="shared" ref="G544:L544" si="40">SUM(G541:G543)</f>
        <v>49670.559999999998</v>
      </c>
      <c r="H544" s="193">
        <f t="shared" si="40"/>
        <v>7197.0600000000013</v>
      </c>
      <c r="I544" s="193">
        <f t="shared" si="40"/>
        <v>589.37</v>
      </c>
      <c r="J544" s="193">
        <f t="shared" si="40"/>
        <v>0</v>
      </c>
      <c r="K544" s="193">
        <f t="shared" si="40"/>
        <v>0</v>
      </c>
      <c r="L544" s="193">
        <f t="shared" si="40"/>
        <v>345792.57999999996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4833777.68</v>
      </c>
      <c r="G545" s="89">
        <f t="shared" ref="G545:L545" si="41">G524+G529+G534+G539+G544</f>
        <v>2689955.36</v>
      </c>
      <c r="H545" s="89">
        <f t="shared" si="41"/>
        <v>1158120.47</v>
      </c>
      <c r="I545" s="89">
        <f t="shared" si="41"/>
        <v>40358.700000000004</v>
      </c>
      <c r="J545" s="89">
        <f t="shared" si="41"/>
        <v>31239.48</v>
      </c>
      <c r="K545" s="89">
        <f t="shared" si="41"/>
        <v>1095.01</v>
      </c>
      <c r="L545" s="89">
        <f t="shared" si="41"/>
        <v>8754546.6999999993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2690185.2399999998</v>
      </c>
      <c r="G549" s="87">
        <f>L526</f>
        <v>1261024.3199999998</v>
      </c>
      <c r="H549" s="87">
        <f>L531</f>
        <v>252204.84999999998</v>
      </c>
      <c r="I549" s="87">
        <f>L536</f>
        <v>962.65</v>
      </c>
      <c r="J549" s="87">
        <f>L541</f>
        <v>172896.3</v>
      </c>
      <c r="K549" s="87">
        <f>SUM(F549:J549)</f>
        <v>4377273.3599999994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914662.99</v>
      </c>
      <c r="G550" s="87">
        <f>L527</f>
        <v>428748.26999999996</v>
      </c>
      <c r="H550" s="87">
        <f>L532</f>
        <v>85749.65</v>
      </c>
      <c r="I550" s="87">
        <f>L537</f>
        <v>327.3</v>
      </c>
      <c r="J550" s="87">
        <f>L542</f>
        <v>58784.740000000005</v>
      </c>
      <c r="K550" s="87">
        <f>SUM(F550:J550)</f>
        <v>1488272.95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1775522.24</v>
      </c>
      <c r="G551" s="87">
        <f>L528</f>
        <v>832276.06</v>
      </c>
      <c r="H551" s="87">
        <f>L533</f>
        <v>166455.20000000001</v>
      </c>
      <c r="I551" s="87">
        <f>L538</f>
        <v>635.35</v>
      </c>
      <c r="J551" s="87">
        <f>L543</f>
        <v>114111.54000000001</v>
      </c>
      <c r="K551" s="87">
        <f>SUM(F551:J551)</f>
        <v>2889000.39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5380370.4699999997</v>
      </c>
      <c r="G552" s="89">
        <f t="shared" si="42"/>
        <v>2522048.65</v>
      </c>
      <c r="H552" s="89">
        <f t="shared" si="42"/>
        <v>504409.7</v>
      </c>
      <c r="I552" s="89">
        <f t="shared" si="42"/>
        <v>1925.3000000000002</v>
      </c>
      <c r="J552" s="89">
        <f t="shared" si="42"/>
        <v>345792.57999999996</v>
      </c>
      <c r="K552" s="89">
        <f t="shared" si="42"/>
        <v>8754546.6999999993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31000</v>
      </c>
      <c r="G562" s="18">
        <v>7103.74</v>
      </c>
      <c r="H562" s="18">
        <v>1650.16</v>
      </c>
      <c r="I562" s="18">
        <v>383.72</v>
      </c>
      <c r="J562" s="18">
        <v>479</v>
      </c>
      <c r="K562" s="18"/>
      <c r="L562" s="88">
        <f>SUM(F562:K562)</f>
        <v>40616.620000000003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31000</v>
      </c>
      <c r="G565" s="89">
        <f t="shared" si="44"/>
        <v>7103.74</v>
      </c>
      <c r="H565" s="89">
        <f t="shared" si="44"/>
        <v>1650.16</v>
      </c>
      <c r="I565" s="89">
        <f t="shared" si="44"/>
        <v>383.72</v>
      </c>
      <c r="J565" s="89">
        <f t="shared" si="44"/>
        <v>479</v>
      </c>
      <c r="K565" s="89">
        <f t="shared" si="44"/>
        <v>0</v>
      </c>
      <c r="L565" s="89">
        <f t="shared" si="44"/>
        <v>40616.620000000003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31000</v>
      </c>
      <c r="G571" s="89">
        <f t="shared" ref="G571:L571" si="46">G560+G565+G570</f>
        <v>7103.74</v>
      </c>
      <c r="H571" s="89">
        <f t="shared" si="46"/>
        <v>1650.16</v>
      </c>
      <c r="I571" s="89">
        <f t="shared" si="46"/>
        <v>383.72</v>
      </c>
      <c r="J571" s="89">
        <f t="shared" si="46"/>
        <v>479</v>
      </c>
      <c r="K571" s="89">
        <f t="shared" si="46"/>
        <v>0</v>
      </c>
      <c r="L571" s="89">
        <f t="shared" si="46"/>
        <v>40616.620000000003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99</v>
      </c>
      <c r="I575" s="87">
        <f>SUM(F575:H575)</f>
        <v>99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175720.05</v>
      </c>
      <c r="G579" s="18"/>
      <c r="H579" s="18">
        <v>16905.599999999999</v>
      </c>
      <c r="I579" s="87">
        <f t="shared" si="47"/>
        <v>192625.65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321474.59000000003</v>
      </c>
      <c r="G582" s="18">
        <v>133288.35999999999</v>
      </c>
      <c r="H582" s="18">
        <v>350817.39</v>
      </c>
      <c r="I582" s="87">
        <f t="shared" si="47"/>
        <v>805580.34000000008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>
        <v>4712</v>
      </c>
      <c r="I583" s="87">
        <f t="shared" si="47"/>
        <v>4712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1250805.3</v>
      </c>
      <c r="I591" s="18">
        <v>212543.2</v>
      </c>
      <c r="J591" s="18">
        <v>209075.25</v>
      </c>
      <c r="K591" s="104">
        <f t="shared" ref="K591:K597" si="48">SUM(H591:J591)</f>
        <v>1672423.75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172896.28</v>
      </c>
      <c r="I592" s="18">
        <v>58784.74</v>
      </c>
      <c r="J592" s="18">
        <v>114111.55</v>
      </c>
      <c r="K592" s="104">
        <f t="shared" si="48"/>
        <v>345792.57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3352.8</v>
      </c>
      <c r="K593" s="104">
        <f t="shared" si="48"/>
        <v>3352.8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14608.82</v>
      </c>
      <c r="J594" s="18">
        <v>56518.55</v>
      </c>
      <c r="K594" s="104">
        <f t="shared" si="48"/>
        <v>71127.37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21320.97</v>
      </c>
      <c r="I595" s="18">
        <v>11910.02</v>
      </c>
      <c r="J595" s="18">
        <v>13769.56</v>
      </c>
      <c r="K595" s="104">
        <f t="shared" si="48"/>
        <v>47000.55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1445022.55</v>
      </c>
      <c r="I598" s="108">
        <f>SUM(I591:I597)</f>
        <v>297846.78000000003</v>
      </c>
      <c r="J598" s="108">
        <f>SUM(J591:J597)</f>
        <v>396827.70999999996</v>
      </c>
      <c r="K598" s="108">
        <f>SUM(K591:K597)</f>
        <v>2139697.04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>
        <v>1497.95</v>
      </c>
      <c r="I603" s="18"/>
      <c r="J603" s="18"/>
      <c r="K603" s="104">
        <f>SUM(H603:J603)</f>
        <v>1497.95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358322.99</v>
      </c>
      <c r="I604" s="18">
        <v>215584.09</v>
      </c>
      <c r="J604" s="18">
        <v>325643.45</v>
      </c>
      <c r="K604" s="104">
        <f>SUM(H604:J604)</f>
        <v>899550.53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359820.94</v>
      </c>
      <c r="I605" s="108">
        <f>SUM(I602:I604)</f>
        <v>215584.09</v>
      </c>
      <c r="J605" s="108">
        <f>SUM(J602:J604)</f>
        <v>325643.45</v>
      </c>
      <c r="K605" s="108">
        <f>SUM(K602:K604)</f>
        <v>901048.48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33098.75</v>
      </c>
      <c r="G611" s="18">
        <v>6192.14</v>
      </c>
      <c r="H611" s="18"/>
      <c r="I611" s="18">
        <v>1433.59</v>
      </c>
      <c r="J611" s="18"/>
      <c r="K611" s="18"/>
      <c r="L611" s="88">
        <f>SUM(F611:K611)</f>
        <v>40724.479999999996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>
        <v>240</v>
      </c>
      <c r="I612" s="18"/>
      <c r="J612" s="18"/>
      <c r="K612" s="18"/>
      <c r="L612" s="88">
        <f>SUM(F612:K612)</f>
        <v>240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31124.89</v>
      </c>
      <c r="G613" s="18">
        <v>7186.57</v>
      </c>
      <c r="H613" s="18">
        <v>739.98</v>
      </c>
      <c r="I613" s="18"/>
      <c r="J613" s="18"/>
      <c r="K613" s="18"/>
      <c r="L613" s="88">
        <f>SUM(F613:K613)</f>
        <v>39051.440000000002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64223.64</v>
      </c>
      <c r="G614" s="108">
        <f t="shared" si="49"/>
        <v>13378.71</v>
      </c>
      <c r="H614" s="108">
        <f t="shared" si="49"/>
        <v>979.98</v>
      </c>
      <c r="I614" s="108">
        <f t="shared" si="49"/>
        <v>1433.59</v>
      </c>
      <c r="J614" s="108">
        <f t="shared" si="49"/>
        <v>0</v>
      </c>
      <c r="K614" s="108">
        <f t="shared" si="49"/>
        <v>0</v>
      </c>
      <c r="L614" s="89">
        <f t="shared" si="49"/>
        <v>80015.92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1627878.8599999999</v>
      </c>
      <c r="H617" s="109">
        <f>SUM(F52)</f>
        <v>1627878.8599999999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107604.82</v>
      </c>
      <c r="H618" s="109">
        <f>SUM(G52)</f>
        <v>107604.81999999999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317439.92</v>
      </c>
      <c r="H619" s="109">
        <f>SUM(H52)</f>
        <v>317439.92000000004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1503151.77</v>
      </c>
      <c r="H621" s="109">
        <f>SUM(J52)</f>
        <v>1503151.77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1242199.51</v>
      </c>
      <c r="H622" s="109">
        <f>F476</f>
        <v>1242199.5100000054</v>
      </c>
      <c r="I622" s="121" t="s">
        <v>101</v>
      </c>
      <c r="J622" s="109">
        <f t="shared" ref="J622:J655" si="50">G622-H622</f>
        <v>-5.3551048040390015E-9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66062.81</v>
      </c>
      <c r="H623" s="109">
        <f>G476</f>
        <v>66062.810000000056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1503151.77</v>
      </c>
      <c r="H626" s="109">
        <f>J476</f>
        <v>1503151.77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46008012.420000002</v>
      </c>
      <c r="H627" s="104">
        <f>SUM(F468)</f>
        <v>46008012.420000002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987639.41</v>
      </c>
      <c r="H628" s="104">
        <f>SUM(G468)</f>
        <v>987639.41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1659491.1800000002</v>
      </c>
      <c r="H629" s="104">
        <f>SUM(H468)</f>
        <v>1659491.18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128179.9</v>
      </c>
      <c r="H631" s="104">
        <f>SUM(J468)</f>
        <v>128179.9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46530070.399999991</v>
      </c>
      <c r="H632" s="104">
        <f>SUM(F472)</f>
        <v>46530070.399999999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1659491.18</v>
      </c>
      <c r="H633" s="104">
        <f>SUM(H472)</f>
        <v>1659491.18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401320.18</v>
      </c>
      <c r="H634" s="104">
        <f>I369</f>
        <v>401320.18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950459.65</v>
      </c>
      <c r="H635" s="104">
        <f>SUM(G472)</f>
        <v>950459.65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65388.04</v>
      </c>
      <c r="H636" s="104">
        <f>SUM(I472)</f>
        <v>65388.04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128179.90000000001</v>
      </c>
      <c r="H637" s="164">
        <f>SUM(J468)</f>
        <v>128179.9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24233.49</v>
      </c>
      <c r="H638" s="164">
        <f>SUM(J472)</f>
        <v>24233.49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1503151.77</v>
      </c>
      <c r="H640" s="104">
        <f>SUM(G461)</f>
        <v>1503151.77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1503151.77</v>
      </c>
      <c r="H642" s="104">
        <f>SUM(I461)</f>
        <v>1503151.77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15083.9</v>
      </c>
      <c r="H644" s="104">
        <f>H408</f>
        <v>15083.900000000001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60000</v>
      </c>
      <c r="H645" s="104">
        <f>G408</f>
        <v>60000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128179.9</v>
      </c>
      <c r="H646" s="104">
        <f>L408</f>
        <v>128179.90000000001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2139697.04</v>
      </c>
      <c r="H647" s="104">
        <f>L208+L226+L244</f>
        <v>2139697.04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901048.48</v>
      </c>
      <c r="H648" s="104">
        <f>(J257+J338)-(J255+J336)</f>
        <v>901048.48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1445022.55</v>
      </c>
      <c r="H649" s="104">
        <f>H598</f>
        <v>1445022.55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297846.78000000003</v>
      </c>
      <c r="H650" s="104">
        <f>I598</f>
        <v>297846.78000000003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396827.71</v>
      </c>
      <c r="H651" s="104">
        <f>J598</f>
        <v>396827.70999999996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60000</v>
      </c>
      <c r="H655" s="104">
        <f>K266+K347</f>
        <v>60000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22424173.749999996</v>
      </c>
      <c r="G660" s="19">
        <f>(L229+L309+L359)</f>
        <v>7841917.919999999</v>
      </c>
      <c r="H660" s="19">
        <f>(L247+L328+L360)</f>
        <v>14703892.649999999</v>
      </c>
      <c r="I660" s="19">
        <f>SUM(F660:H660)</f>
        <v>44969984.319999993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215330.25708739704</v>
      </c>
      <c r="G661" s="19">
        <f>(L359/IF(SUM(L358:L360)=0,1,SUM(L358:L360))*(SUM(G97:G110)))</f>
        <v>63612.70837880492</v>
      </c>
      <c r="H661" s="19">
        <f>(L360/IF(SUM(L358:L360)=0,1,SUM(L358:L360))*(SUM(G97:G110)))</f>
        <v>200386.97453379806</v>
      </c>
      <c r="I661" s="19">
        <f>SUM(F661:H661)</f>
        <v>479329.94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1333610.73</v>
      </c>
      <c r="G662" s="19">
        <f>(L226+L306)-(J226+J306)</f>
        <v>250094.28000000003</v>
      </c>
      <c r="H662" s="19">
        <f>(L244+L325)-(J244+J325)</f>
        <v>325198.96000000002</v>
      </c>
      <c r="I662" s="19">
        <f>SUM(F662:H662)</f>
        <v>1908903.97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897740.06</v>
      </c>
      <c r="G663" s="199">
        <f>SUM(G575:G587)+SUM(I602:I604)+L612</f>
        <v>349112.44999999995</v>
      </c>
      <c r="H663" s="199">
        <f>SUM(H575:H587)+SUM(J602:J604)+L613</f>
        <v>737228.87999999989</v>
      </c>
      <c r="I663" s="19">
        <f>SUM(F663:H663)</f>
        <v>1984081.39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19977492.702912599</v>
      </c>
      <c r="G664" s="19">
        <f>G660-SUM(G661:G663)</f>
        <v>7179098.4816211946</v>
      </c>
      <c r="H664" s="19">
        <f>H660-SUM(H661:H663)</f>
        <v>13441077.8354662</v>
      </c>
      <c r="I664" s="19">
        <f>I660-SUM(I661:I663)</f>
        <v>40597669.019999996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1177.3599999999999</v>
      </c>
      <c r="G665" s="248">
        <v>359.34</v>
      </c>
      <c r="H665" s="248">
        <v>791.1</v>
      </c>
      <c r="I665" s="19">
        <f>SUM(F665:H665)</f>
        <v>2327.7999999999997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16968.04</v>
      </c>
      <c r="G667" s="19">
        <f>ROUND(G664/G665,2)</f>
        <v>19978.57</v>
      </c>
      <c r="H667" s="19">
        <f>ROUND(H664/H665,2)</f>
        <v>16990.37</v>
      </c>
      <c r="I667" s="19">
        <f>ROUND(I664/I665,2)</f>
        <v>17440.36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18.440000000000001</v>
      </c>
      <c r="I670" s="19">
        <f>SUM(F670:H670)</f>
        <v>18.440000000000001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16968.04</v>
      </c>
      <c r="G672" s="19">
        <f>ROUND((G664+G669)/(G665+G670),2)</f>
        <v>19978.57</v>
      </c>
      <c r="H672" s="19">
        <f>ROUND((H664+H669)/(H665+H670),2)</f>
        <v>16603.349999999999</v>
      </c>
      <c r="I672" s="19">
        <f>ROUND((I664+I669)/(I665+I670),2)</f>
        <v>17303.29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1" sqref="C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Governor Wentworth Regional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11506470.23</v>
      </c>
      <c r="C9" s="229">
        <f>'DOE25'!G197+'DOE25'!G215+'DOE25'!G233+'DOE25'!G276+'DOE25'!G295+'DOE25'!G314</f>
        <v>6923300.5200000005</v>
      </c>
    </row>
    <row r="10" spans="1:3" x14ac:dyDescent="0.2">
      <c r="A10" t="s">
        <v>778</v>
      </c>
      <c r="B10" s="240">
        <v>10350069.970000001</v>
      </c>
      <c r="C10" s="240">
        <v>6227508.8200000003</v>
      </c>
    </row>
    <row r="11" spans="1:3" x14ac:dyDescent="0.2">
      <c r="A11" t="s">
        <v>779</v>
      </c>
      <c r="B11" s="240">
        <v>619048.1</v>
      </c>
      <c r="C11" s="240">
        <v>372473.57</v>
      </c>
    </row>
    <row r="12" spans="1:3" x14ac:dyDescent="0.2">
      <c r="A12" t="s">
        <v>780</v>
      </c>
      <c r="B12" s="240">
        <v>537352.16</v>
      </c>
      <c r="C12" s="240">
        <v>323318.13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11506470.23</v>
      </c>
      <c r="C13" s="231">
        <f>SUM(C10:C12)</f>
        <v>6923300.5200000005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4545442.05</v>
      </c>
      <c r="C18" s="229">
        <f>'DOE25'!G198+'DOE25'!G216+'DOE25'!G234+'DOE25'!G277+'DOE25'!G296+'DOE25'!G315</f>
        <v>2640284.81</v>
      </c>
    </row>
    <row r="19" spans="1:3" x14ac:dyDescent="0.2">
      <c r="A19" t="s">
        <v>778</v>
      </c>
      <c r="B19" s="240">
        <v>2940901.01</v>
      </c>
      <c r="C19" s="240">
        <v>1708264.27</v>
      </c>
    </row>
    <row r="20" spans="1:3" x14ac:dyDescent="0.2">
      <c r="A20" t="s">
        <v>779</v>
      </c>
      <c r="B20" s="240">
        <v>1378178.03</v>
      </c>
      <c r="C20" s="240">
        <v>800534.35</v>
      </c>
    </row>
    <row r="21" spans="1:3" x14ac:dyDescent="0.2">
      <c r="A21" t="s">
        <v>780</v>
      </c>
      <c r="B21" s="240">
        <v>226363.01</v>
      </c>
      <c r="C21" s="240">
        <v>131486.19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4545442.05</v>
      </c>
      <c r="C22" s="231">
        <f>SUM(C19:C21)</f>
        <v>2640284.81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808770.96</v>
      </c>
      <c r="C27" s="234">
        <f>'DOE25'!G199+'DOE25'!G217+'DOE25'!G235+'DOE25'!G278+'DOE25'!G297+'DOE25'!G316</f>
        <v>441063.13</v>
      </c>
    </row>
    <row r="28" spans="1:3" x14ac:dyDescent="0.2">
      <c r="A28" t="s">
        <v>778</v>
      </c>
      <c r="B28" s="240">
        <v>534112.34</v>
      </c>
      <c r="C28" s="240">
        <v>291278.09000000003</v>
      </c>
    </row>
    <row r="29" spans="1:3" x14ac:dyDescent="0.2">
      <c r="A29" t="s">
        <v>779</v>
      </c>
      <c r="B29" s="240">
        <v>124469.85</v>
      </c>
      <c r="C29" s="240">
        <v>67879.62</v>
      </c>
    </row>
    <row r="30" spans="1:3" x14ac:dyDescent="0.2">
      <c r="A30" t="s">
        <v>780</v>
      </c>
      <c r="B30" s="240">
        <v>150188.76999999999</v>
      </c>
      <c r="C30" s="240">
        <v>81905.42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808770.96</v>
      </c>
      <c r="C31" s="231">
        <f>SUM(C28:C30)</f>
        <v>441063.13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401240.89999999997</v>
      </c>
      <c r="C36" s="235">
        <f>'DOE25'!G200+'DOE25'!G218+'DOE25'!G236+'DOE25'!G279+'DOE25'!G298+'DOE25'!G317</f>
        <v>68212.11</v>
      </c>
    </row>
    <row r="37" spans="1:3" x14ac:dyDescent="0.2">
      <c r="A37" t="s">
        <v>778</v>
      </c>
      <c r="B37" s="240">
        <v>186336.27</v>
      </c>
      <c r="C37" s="240">
        <v>31677.7</v>
      </c>
    </row>
    <row r="38" spans="1:3" x14ac:dyDescent="0.2">
      <c r="A38" t="s">
        <v>779</v>
      </c>
      <c r="B38" s="240">
        <v>74911.679999999993</v>
      </c>
      <c r="C38" s="240">
        <v>12735.2</v>
      </c>
    </row>
    <row r="39" spans="1:3" x14ac:dyDescent="0.2">
      <c r="A39" t="s">
        <v>780</v>
      </c>
      <c r="B39" s="240">
        <v>139992.95000000001</v>
      </c>
      <c r="C39" s="240">
        <v>23799.21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401240.9</v>
      </c>
      <c r="C40" s="231">
        <f>SUM(C37:C39)</f>
        <v>68212.11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Governor Wentworth Regional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28876836.849999994</v>
      </c>
      <c r="D5" s="20">
        <f>SUM('DOE25'!L197:L200)+SUM('DOE25'!L215:L218)+SUM('DOE25'!L233:L236)-F5-G5</f>
        <v>28477635.049999993</v>
      </c>
      <c r="E5" s="243"/>
      <c r="F5" s="255">
        <f>SUM('DOE25'!J197:J200)+SUM('DOE25'!J215:J218)+SUM('DOE25'!J233:J236)</f>
        <v>386711.3</v>
      </c>
      <c r="G5" s="53">
        <f>SUM('DOE25'!K197:K200)+SUM('DOE25'!K215:K218)+SUM('DOE25'!K233:K236)</f>
        <v>12490.5</v>
      </c>
      <c r="H5" s="259"/>
    </row>
    <row r="6" spans="1:9" x14ac:dyDescent="0.2">
      <c r="A6" s="32">
        <v>2100</v>
      </c>
      <c r="B6" t="s">
        <v>800</v>
      </c>
      <c r="C6" s="245">
        <f t="shared" si="0"/>
        <v>2075339.2200000002</v>
      </c>
      <c r="D6" s="20">
        <f>'DOE25'!L202+'DOE25'!L220+'DOE25'!L238-F6-G6</f>
        <v>2069785.6000000001</v>
      </c>
      <c r="E6" s="243"/>
      <c r="F6" s="255">
        <f>'DOE25'!J202+'DOE25'!J220+'DOE25'!J238</f>
        <v>5052.62</v>
      </c>
      <c r="G6" s="53">
        <f>'DOE25'!K202+'DOE25'!K220+'DOE25'!K238</f>
        <v>501</v>
      </c>
      <c r="H6" s="259"/>
    </row>
    <row r="7" spans="1:9" x14ac:dyDescent="0.2">
      <c r="A7" s="32">
        <v>2200</v>
      </c>
      <c r="B7" t="s">
        <v>833</v>
      </c>
      <c r="C7" s="245">
        <f t="shared" si="0"/>
        <v>1546006.5399999998</v>
      </c>
      <c r="D7" s="20">
        <f>'DOE25'!L203+'DOE25'!L221+'DOE25'!L239-F7-G7</f>
        <v>1469980.2099999997</v>
      </c>
      <c r="E7" s="243"/>
      <c r="F7" s="255">
        <f>'DOE25'!J203+'DOE25'!J221+'DOE25'!J239</f>
        <v>74405.33</v>
      </c>
      <c r="G7" s="53">
        <f>'DOE25'!K203+'DOE25'!K221+'DOE25'!K239</f>
        <v>1621</v>
      </c>
      <c r="H7" s="259"/>
    </row>
    <row r="8" spans="1:9" x14ac:dyDescent="0.2">
      <c r="A8" s="32">
        <v>2300</v>
      </c>
      <c r="B8" t="s">
        <v>801</v>
      </c>
      <c r="C8" s="245">
        <f t="shared" si="0"/>
        <v>48108.200000000048</v>
      </c>
      <c r="D8" s="243"/>
      <c r="E8" s="20">
        <f>'DOE25'!L204+'DOE25'!L222+'DOE25'!L240-F8-G8-D9-D11</f>
        <v>37854.680000000051</v>
      </c>
      <c r="F8" s="255">
        <f>'DOE25'!J204+'DOE25'!J222+'DOE25'!J240</f>
        <v>802.88</v>
      </c>
      <c r="G8" s="53">
        <f>'DOE25'!K204+'DOE25'!K222+'DOE25'!K240</f>
        <v>9450.64</v>
      </c>
      <c r="H8" s="259"/>
    </row>
    <row r="9" spans="1:9" x14ac:dyDescent="0.2">
      <c r="A9" s="32">
        <v>2310</v>
      </c>
      <c r="B9" t="s">
        <v>817</v>
      </c>
      <c r="C9" s="245">
        <f t="shared" si="0"/>
        <v>109935.73</v>
      </c>
      <c r="D9" s="244">
        <v>109935.73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21707.16</v>
      </c>
      <c r="D10" s="243"/>
      <c r="E10" s="244">
        <v>21707.16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743487.16</v>
      </c>
      <c r="D11" s="244">
        <v>743487.16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2762023.1599999997</v>
      </c>
      <c r="D12" s="20">
        <f>'DOE25'!L205+'DOE25'!L223+'DOE25'!L241-F12-G12</f>
        <v>2740820.2299999995</v>
      </c>
      <c r="E12" s="243"/>
      <c r="F12" s="255">
        <f>'DOE25'!J205+'DOE25'!J223+'DOE25'!J241</f>
        <v>14255.710000000001</v>
      </c>
      <c r="G12" s="53">
        <f>'DOE25'!K205+'DOE25'!K223+'DOE25'!K241</f>
        <v>6947.22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502896.68999999994</v>
      </c>
      <c r="D13" s="243"/>
      <c r="E13" s="20">
        <f>'DOE25'!L206+'DOE25'!L224+'DOE25'!L242-F13-G13</f>
        <v>487254.37999999995</v>
      </c>
      <c r="F13" s="255">
        <f>'DOE25'!J206+'DOE25'!J224+'DOE25'!J242</f>
        <v>1280.76</v>
      </c>
      <c r="G13" s="53">
        <f>'DOE25'!K206+'DOE25'!K224+'DOE25'!K242</f>
        <v>14361.55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3764846.2399999998</v>
      </c>
      <c r="D14" s="20">
        <f>'DOE25'!L207+'DOE25'!L225+'DOE25'!L243-F14-G14</f>
        <v>3727886.1199999996</v>
      </c>
      <c r="E14" s="243"/>
      <c r="F14" s="255">
        <f>'DOE25'!J207+'DOE25'!J225+'DOE25'!J243</f>
        <v>36960.119999999995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2139697.04</v>
      </c>
      <c r="D15" s="20">
        <f>'DOE25'!L208+'DOE25'!L226+'DOE25'!L244-F15-G15</f>
        <v>1900934.54</v>
      </c>
      <c r="E15" s="243"/>
      <c r="F15" s="255">
        <f>'DOE25'!J208+'DOE25'!J226+'DOE25'!J244</f>
        <v>238762.5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10502.51</v>
      </c>
      <c r="D17" s="20">
        <f>'DOE25'!L251-F17-G17</f>
        <v>10502.51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5967.74</v>
      </c>
      <c r="D19" s="20">
        <f>'DOE25'!L253-F19-G19</f>
        <v>5967.74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141674.98000000001</v>
      </c>
      <c r="D22" s="243"/>
      <c r="E22" s="243"/>
      <c r="F22" s="255">
        <f>'DOE25'!L255+'DOE25'!L336</f>
        <v>141674.98000000001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3742748.34</v>
      </c>
      <c r="D25" s="243"/>
      <c r="E25" s="243"/>
      <c r="F25" s="258"/>
      <c r="G25" s="256"/>
      <c r="H25" s="257">
        <f>'DOE25'!L260+'DOE25'!L261+'DOE25'!L341+'DOE25'!L342</f>
        <v>3742748.34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577575.03</v>
      </c>
      <c r="D29" s="20">
        <f>'DOE25'!L358+'DOE25'!L359+'DOE25'!L360-'DOE25'!I367-F29-G29</f>
        <v>575089.73</v>
      </c>
      <c r="E29" s="243"/>
      <c r="F29" s="255">
        <f>'DOE25'!J358+'DOE25'!J359+'DOE25'!J360</f>
        <v>2485.3000000000002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1659282.0799999998</v>
      </c>
      <c r="D31" s="20">
        <f>'DOE25'!L290+'DOE25'!L309+'DOE25'!L328+'DOE25'!L333+'DOE25'!L334+'DOE25'!L335-F31-G31</f>
        <v>1509983.38</v>
      </c>
      <c r="E31" s="243"/>
      <c r="F31" s="255">
        <f>'DOE25'!J290+'DOE25'!J309+'DOE25'!J328+'DOE25'!J333+'DOE25'!J334+'DOE25'!J335</f>
        <v>142817.26</v>
      </c>
      <c r="G31" s="53">
        <f>'DOE25'!K290+'DOE25'!K309+'DOE25'!K328+'DOE25'!K333+'DOE25'!K334+'DOE25'!K335</f>
        <v>6481.44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43342007.999999993</v>
      </c>
      <c r="E33" s="246">
        <f>SUM(E5:E31)</f>
        <v>546816.22</v>
      </c>
      <c r="F33" s="246">
        <f>SUM(F5:F31)</f>
        <v>1045208.76</v>
      </c>
      <c r="G33" s="246">
        <f>SUM(G5:G31)</f>
        <v>51853.350000000006</v>
      </c>
      <c r="H33" s="246">
        <f>SUM(H5:H31)</f>
        <v>3742748.34</v>
      </c>
    </row>
    <row r="35" spans="2:8" ht="12" thickBot="1" x14ac:dyDescent="0.25">
      <c r="B35" s="253" t="s">
        <v>846</v>
      </c>
      <c r="D35" s="254">
        <f>E33</f>
        <v>546816.22</v>
      </c>
      <c r="E35" s="249"/>
    </row>
    <row r="36" spans="2:8" ht="12" thickTop="1" x14ac:dyDescent="0.2">
      <c r="B36" t="s">
        <v>814</v>
      </c>
      <c r="D36" s="20">
        <f>D33</f>
        <v>43342007.999999993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14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Governor Wentworth Regional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1265280.8600000001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116296.42</v>
      </c>
      <c r="D11" s="95">
        <f>'DOE25'!G12</f>
        <v>58032.15</v>
      </c>
      <c r="E11" s="95">
        <f>'DOE25'!H12</f>
        <v>0</v>
      </c>
      <c r="F11" s="95">
        <f>'DOE25'!I12</f>
        <v>0</v>
      </c>
      <c r="G11" s="95">
        <f>'DOE25'!J12</f>
        <v>44108.76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225681.17</v>
      </c>
      <c r="D12" s="95">
        <f>'DOE25'!G13</f>
        <v>49572.67</v>
      </c>
      <c r="E12" s="95">
        <f>'DOE25'!H13</f>
        <v>317439.92</v>
      </c>
      <c r="F12" s="95">
        <f>'DOE25'!I13</f>
        <v>0</v>
      </c>
      <c r="G12" s="95">
        <f>'DOE25'!J13</f>
        <v>1459043.01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2698.2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17912.21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1627878.8599999999</v>
      </c>
      <c r="D18" s="41">
        <f>SUM(D8:D17)</f>
        <v>107604.82</v>
      </c>
      <c r="E18" s="41">
        <f>SUM(E8:E17)</f>
        <v>317439.92</v>
      </c>
      <c r="F18" s="41">
        <f>SUM(F8:F17)</f>
        <v>0</v>
      </c>
      <c r="G18" s="41">
        <f>SUM(G8:G17)</f>
        <v>1503151.77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232748.54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383060.99</v>
      </c>
      <c r="D27" s="95">
        <f>'DOE25'!G28</f>
        <v>24367.3</v>
      </c>
      <c r="E27" s="95">
        <f>'DOE25'!H28</f>
        <v>33119.910000000003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2618.36</v>
      </c>
      <c r="D29" s="95">
        <f>'DOE25'!G30</f>
        <v>17174.71</v>
      </c>
      <c r="E29" s="95">
        <f>'DOE25'!H30</f>
        <v>51571.47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385679.35</v>
      </c>
      <c r="D31" s="41">
        <f>SUM(D21:D30)</f>
        <v>41542.009999999995</v>
      </c>
      <c r="E31" s="41">
        <f>SUM(E21:E30)</f>
        <v>317439.92000000004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17912.21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66062.81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60000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1503151.77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51209.58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1113077.72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1242199.51</v>
      </c>
      <c r="D50" s="41">
        <f>SUM(D34:D49)</f>
        <v>66062.81</v>
      </c>
      <c r="E50" s="41">
        <f>SUM(E34:E49)</f>
        <v>0</v>
      </c>
      <c r="F50" s="41">
        <f>SUM(F34:F49)</f>
        <v>0</v>
      </c>
      <c r="G50" s="41">
        <f>SUM(G34:G49)</f>
        <v>1503151.77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1627878.8599999999</v>
      </c>
      <c r="D51" s="41">
        <f>D50+D31</f>
        <v>107604.81999999999</v>
      </c>
      <c r="E51" s="41">
        <f>E50+E31</f>
        <v>317439.92000000004</v>
      </c>
      <c r="F51" s="41">
        <f>F50+F31</f>
        <v>0</v>
      </c>
      <c r="G51" s="41">
        <f>G50+G31</f>
        <v>1503151.77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27201714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1924020.39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1067.6600000000001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15083.9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476445.98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379072.72</v>
      </c>
      <c r="D61" s="95">
        <f>SUM('DOE25'!G98:G110)</f>
        <v>2883.96</v>
      </c>
      <c r="E61" s="95">
        <f>SUM('DOE25'!H98:H110)</f>
        <v>0</v>
      </c>
      <c r="F61" s="95">
        <f>SUM('DOE25'!I98:I110)</f>
        <v>0</v>
      </c>
      <c r="G61" s="95">
        <f>SUM('DOE25'!J98:J110)</f>
        <v>53096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2304160.7699999996</v>
      </c>
      <c r="D62" s="130">
        <f>SUM(D57:D61)</f>
        <v>479329.94</v>
      </c>
      <c r="E62" s="130">
        <f>SUM(E57:E61)</f>
        <v>0</v>
      </c>
      <c r="F62" s="130">
        <f>SUM(F57:F61)</f>
        <v>0</v>
      </c>
      <c r="G62" s="130">
        <f>SUM(G57:G61)</f>
        <v>68179.899999999994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29505874.77</v>
      </c>
      <c r="D63" s="22">
        <f>D56+D62</f>
        <v>479329.94</v>
      </c>
      <c r="E63" s="22">
        <f>E56+E62</f>
        <v>0</v>
      </c>
      <c r="F63" s="22">
        <f>F56+F62</f>
        <v>0</v>
      </c>
      <c r="G63" s="22">
        <f>G56+G62</f>
        <v>68179.899999999994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3976880.29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10298059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14274939.289999999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1387032.78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207936.96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228781.2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180506.97</v>
      </c>
      <c r="D77" s="95">
        <f>SUM('DOE25'!G131:G135)</f>
        <v>12236.34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2004257.91</v>
      </c>
      <c r="D78" s="130">
        <f>SUM(D72:D77)</f>
        <v>12236.34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16279197.199999999</v>
      </c>
      <c r="D81" s="130">
        <f>SUM(D79:D80)+D78+D70</f>
        <v>12236.34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222735.14</v>
      </c>
      <c r="D88" s="95">
        <f>SUM('DOE25'!G153:G161)</f>
        <v>496073.13</v>
      </c>
      <c r="E88" s="95">
        <f>SUM('DOE25'!H153:H161)</f>
        <v>1659491.1800000002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222735.14</v>
      </c>
      <c r="D91" s="131">
        <f>SUM(D85:D90)</f>
        <v>496073.13</v>
      </c>
      <c r="E91" s="131">
        <f>SUM(E85:E90)</f>
        <v>1659491.1800000002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60000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205.31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205.31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60000</v>
      </c>
    </row>
    <row r="104" spans="1:7" ht="12.75" thickTop="1" thickBot="1" x14ac:dyDescent="0.25">
      <c r="A104" s="33" t="s">
        <v>764</v>
      </c>
      <c r="C104" s="86">
        <f>C63+C81+C91+C103</f>
        <v>46008012.420000002</v>
      </c>
      <c r="D104" s="86">
        <f>D63+D81+D91+D103</f>
        <v>987639.41</v>
      </c>
      <c r="E104" s="86">
        <f>E63+E81+E91+E103</f>
        <v>1659491.1800000002</v>
      </c>
      <c r="F104" s="86">
        <f>F63+F81+F91+F103</f>
        <v>0</v>
      </c>
      <c r="G104" s="86">
        <f>G63+G81+G103</f>
        <v>128179.9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18878982.189999998</v>
      </c>
      <c r="D109" s="24" t="s">
        <v>288</v>
      </c>
      <c r="E109" s="95">
        <f>('DOE25'!L276)+('DOE25'!L295)+('DOE25'!L314)</f>
        <v>602139.25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8037735.9499999993</v>
      </c>
      <c r="D110" s="24" t="s">
        <v>288</v>
      </c>
      <c r="E110" s="95">
        <f>('DOE25'!L277)+('DOE25'!L296)+('DOE25'!L315)</f>
        <v>371018.16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1290765.56</v>
      </c>
      <c r="D111" s="24" t="s">
        <v>288</v>
      </c>
      <c r="E111" s="95">
        <f>('DOE25'!L278)+('DOE25'!L297)+('DOE25'!L316)</f>
        <v>138277.59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669353.15</v>
      </c>
      <c r="D112" s="24" t="s">
        <v>288</v>
      </c>
      <c r="E112" s="95">
        <f>+('DOE25'!L279)+('DOE25'!L298)+('DOE25'!L317)</f>
        <v>22228.25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16470.25</v>
      </c>
      <c r="D114" s="24" t="s">
        <v>288</v>
      </c>
      <c r="E114" s="95">
        <f>+ SUM('DOE25'!L333:L335)</f>
        <v>208934.24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28893307.099999994</v>
      </c>
      <c r="D115" s="86">
        <f>SUM(D109:D114)</f>
        <v>0</v>
      </c>
      <c r="E115" s="86">
        <f>SUM(E109:E114)</f>
        <v>1342597.49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2075339.2200000002</v>
      </c>
      <c r="D118" s="24" t="s">
        <v>288</v>
      </c>
      <c r="E118" s="95">
        <f>+('DOE25'!L281)+('DOE25'!L300)+('DOE25'!L319)</f>
        <v>25760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1546006.5399999998</v>
      </c>
      <c r="D119" s="24" t="s">
        <v>288</v>
      </c>
      <c r="E119" s="95">
        <f>+('DOE25'!L282)+('DOE25'!L301)+('DOE25'!L320)</f>
        <v>275561.11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901531.09000000008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2762023.1599999997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502896.68999999994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3764846.2399999998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2139697.04</v>
      </c>
      <c r="D124" s="24" t="s">
        <v>288</v>
      </c>
      <c r="E124" s="95">
        <f>+('DOE25'!L287)+('DOE25'!L306)+('DOE25'!L325)</f>
        <v>7969.43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7394.0499999999993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950459.65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13692339.98</v>
      </c>
      <c r="D128" s="86">
        <f>SUM(D118:D127)</f>
        <v>950459.65</v>
      </c>
      <c r="E128" s="86">
        <f>SUM(E118:E127)</f>
        <v>316684.58999999997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141674.98000000001</v>
      </c>
      <c r="D130" s="24" t="s">
        <v>288</v>
      </c>
      <c r="E130" s="129">
        <f>'DOE25'!L336</f>
        <v>0</v>
      </c>
      <c r="F130" s="129">
        <f>SUM('DOE25'!L374:'DOE25'!L380)</f>
        <v>65388.04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2737111.86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1005636.48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209.1</v>
      </c>
      <c r="F134" s="95">
        <f>'DOE25'!K381</f>
        <v>0</v>
      </c>
      <c r="G134" s="95">
        <f>'DOE25'!K434</f>
        <v>24233.49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128179.90000000001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-68179.900000000009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3944423.32</v>
      </c>
      <c r="D144" s="141">
        <f>SUM(D130:D143)</f>
        <v>0</v>
      </c>
      <c r="E144" s="141">
        <f>SUM(E130:E143)</f>
        <v>209.1</v>
      </c>
      <c r="F144" s="141">
        <f>SUM(F130:F143)</f>
        <v>65388.04</v>
      </c>
      <c r="G144" s="141">
        <f>SUM(G130:G143)</f>
        <v>24233.49</v>
      </c>
    </row>
    <row r="145" spans="1:9" ht="12.75" thickTop="1" thickBot="1" x14ac:dyDescent="0.25">
      <c r="A145" s="33" t="s">
        <v>244</v>
      </c>
      <c r="C145" s="86">
        <f>(C115+C128+C144)</f>
        <v>46530070.399999999</v>
      </c>
      <c r="D145" s="86">
        <f>(D115+D128+D144)</f>
        <v>950459.65</v>
      </c>
      <c r="E145" s="86">
        <f>(E115+E128+E144)</f>
        <v>1659491.1800000002</v>
      </c>
      <c r="F145" s="86">
        <f>(F115+F128+F144)</f>
        <v>65388.04</v>
      </c>
      <c r="G145" s="86">
        <f>(G115+G128+G144)</f>
        <v>24233.49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30</v>
      </c>
      <c r="C151" s="153">
        <f>'DOE25'!G490</f>
        <v>30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07/09</v>
      </c>
      <c r="C152" s="152" t="str">
        <f>'DOE25'!G491</f>
        <v>07/10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07/39</v>
      </c>
      <c r="C153" s="152" t="str">
        <f>'DOE25'!G492</f>
        <v>08/40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25000000</v>
      </c>
      <c r="C154" s="137">
        <f>'DOE25'!G493</f>
        <v>325508500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4.3</v>
      </c>
      <c r="C155" s="137">
        <f>'DOE25'!G494</f>
        <v>4.46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16962166.550000001</v>
      </c>
      <c r="C156" s="137">
        <f>'DOE25'!G495</f>
        <v>22640104.899999999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39602271.450000003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1115835.6000000015</v>
      </c>
      <c r="C158" s="137">
        <f>'DOE25'!G497</f>
        <v>1555259.3599999994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2671094.9600000009</v>
      </c>
    </row>
    <row r="159" spans="1:9" x14ac:dyDescent="0.2">
      <c r="A159" s="22" t="s">
        <v>35</v>
      </c>
      <c r="B159" s="137">
        <f>'DOE25'!F498</f>
        <v>15846330.949999999</v>
      </c>
      <c r="C159" s="137">
        <f>'DOE25'!G498</f>
        <v>21084845.539999999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36931176.489999995</v>
      </c>
    </row>
    <row r="160" spans="1:9" x14ac:dyDescent="0.2">
      <c r="A160" s="22" t="s">
        <v>36</v>
      </c>
      <c r="B160" s="137">
        <f>'DOE25'!F499</f>
        <v>18584742.59</v>
      </c>
      <c r="C160" s="137">
        <f>'DOE25'!G499</f>
        <v>27316460.710000001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45901203.299999997</v>
      </c>
    </row>
    <row r="161" spans="1:7" x14ac:dyDescent="0.2">
      <c r="A161" s="22" t="s">
        <v>37</v>
      </c>
      <c r="B161" s="137">
        <f>'DOE25'!F500</f>
        <v>34431073.539999999</v>
      </c>
      <c r="C161" s="137">
        <f>'DOE25'!G500</f>
        <v>48401306.25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82832379.789999992</v>
      </c>
    </row>
    <row r="162" spans="1:7" x14ac:dyDescent="0.2">
      <c r="A162" s="22" t="s">
        <v>38</v>
      </c>
      <c r="B162" s="137">
        <f>'DOE25'!F501</f>
        <v>1069019.78</v>
      </c>
      <c r="C162" s="137">
        <f>'DOE25'!G501</f>
        <v>1483928.4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2552948.1799999997</v>
      </c>
    </row>
    <row r="163" spans="1:7" x14ac:dyDescent="0.2">
      <c r="A163" s="22" t="s">
        <v>39</v>
      </c>
      <c r="B163" s="137">
        <f>'DOE25'!F502</f>
        <v>428674.47</v>
      </c>
      <c r="C163" s="137">
        <f>'DOE25'!G502</f>
        <v>621684.1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1050358.5699999998</v>
      </c>
    </row>
    <row r="164" spans="1:7" x14ac:dyDescent="0.2">
      <c r="A164" s="22" t="s">
        <v>246</v>
      </c>
      <c r="B164" s="137">
        <f>'DOE25'!F503</f>
        <v>1497694.25</v>
      </c>
      <c r="C164" s="137">
        <f>'DOE25'!G503</f>
        <v>2105612.5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3603306.75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Governor Wentworth Regional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16968</v>
      </c>
    </row>
    <row r="5" spans="1:4" x14ac:dyDescent="0.2">
      <c r="B5" t="s">
        <v>703</v>
      </c>
      <c r="C5" s="179">
        <f>IF('DOE25'!G665+'DOE25'!G670=0,0,ROUND('DOE25'!G672,0))</f>
        <v>19979</v>
      </c>
    </row>
    <row r="6" spans="1:4" x14ac:dyDescent="0.2">
      <c r="B6" t="s">
        <v>62</v>
      </c>
      <c r="C6" s="179">
        <f>IF('DOE25'!H665+'DOE25'!H670=0,0,ROUND('DOE25'!H672,0))</f>
        <v>16603</v>
      </c>
    </row>
    <row r="7" spans="1:4" x14ac:dyDescent="0.2">
      <c r="B7" t="s">
        <v>704</v>
      </c>
      <c r="C7" s="179">
        <f>IF('DOE25'!I665+'DOE25'!I670=0,0,ROUND('DOE25'!I672,0))</f>
        <v>17303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19481121</v>
      </c>
      <c r="D10" s="182">
        <f>ROUND((C10/$C$28)*100,1)</f>
        <v>42.6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8408754</v>
      </c>
      <c r="D11" s="182">
        <f>ROUND((C11/$C$28)*100,1)</f>
        <v>18.399999999999999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1429043</v>
      </c>
      <c r="D12" s="182">
        <f>ROUND((C12/$C$28)*100,1)</f>
        <v>3.1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691581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2101099</v>
      </c>
      <c r="D15" s="182">
        <f t="shared" ref="D15:D27" si="0">ROUND((C15/$C$28)*100,1)</f>
        <v>4.5999999999999996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1821568</v>
      </c>
      <c r="D16" s="182">
        <f t="shared" si="0"/>
        <v>4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908925</v>
      </c>
      <c r="D17" s="182">
        <f t="shared" si="0"/>
        <v>2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2762023</v>
      </c>
      <c r="D18" s="182">
        <f t="shared" si="0"/>
        <v>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502897</v>
      </c>
      <c r="D19" s="182">
        <f t="shared" si="0"/>
        <v>1.1000000000000001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3764846</v>
      </c>
      <c r="D20" s="182">
        <f t="shared" si="0"/>
        <v>8.1999999999999993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2147666</v>
      </c>
      <c r="D21" s="182">
        <f t="shared" si="0"/>
        <v>4.7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225404</v>
      </c>
      <c r="D24" s="182">
        <f t="shared" si="0"/>
        <v>0.5</v>
      </c>
    </row>
    <row r="25" spans="1:4" x14ac:dyDescent="0.2">
      <c r="A25">
        <v>5120</v>
      </c>
      <c r="B25" t="s">
        <v>719</v>
      </c>
      <c r="C25" s="179">
        <f>ROUND('DOE25'!L261+'DOE25'!L342,0)</f>
        <v>1005636</v>
      </c>
      <c r="D25" s="182">
        <f t="shared" si="0"/>
        <v>2.2000000000000002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471130.06</v>
      </c>
      <c r="D27" s="182">
        <f t="shared" si="0"/>
        <v>1</v>
      </c>
    </row>
    <row r="28" spans="1:4" x14ac:dyDescent="0.2">
      <c r="B28" s="187" t="s">
        <v>722</v>
      </c>
      <c r="C28" s="180">
        <f>SUM(C10:C27)</f>
        <v>45721693.060000002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207063</v>
      </c>
    </row>
    <row r="30" spans="1:4" x14ac:dyDescent="0.2">
      <c r="B30" s="187" t="s">
        <v>728</v>
      </c>
      <c r="C30" s="180">
        <f>SUM(C28:C29)</f>
        <v>45928756.060000002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2737112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27201714</v>
      </c>
      <c r="D35" s="182">
        <f t="shared" ref="D35:D40" si="1">ROUND((C35/$C$41)*100,1)</f>
        <v>56.4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2372340.6699999981</v>
      </c>
      <c r="D36" s="182">
        <f t="shared" si="1"/>
        <v>4.9000000000000004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14274939</v>
      </c>
      <c r="D37" s="182">
        <f t="shared" si="1"/>
        <v>29.6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2016494</v>
      </c>
      <c r="D38" s="182">
        <f t="shared" si="1"/>
        <v>4.2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2378299</v>
      </c>
      <c r="D39" s="182">
        <f t="shared" si="1"/>
        <v>4.9000000000000004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48243786.670000002</v>
      </c>
      <c r="D41" s="184">
        <f>SUM(D35:D40)</f>
        <v>100.00000000000001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Governor Wentworth Regional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2017-08-09T13:39:55Z</cp:lastPrinted>
  <dcterms:created xsi:type="dcterms:W3CDTF">1997-12-04T19:04:30Z</dcterms:created>
  <dcterms:modified xsi:type="dcterms:W3CDTF">2017-11-29T17:23:07Z</dcterms:modified>
</cp:coreProperties>
</file>