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6" i="1" l="1"/>
  <c r="G526" i="1"/>
  <c r="H526" i="1"/>
  <c r="K521" i="1" l="1"/>
  <c r="J521" i="1"/>
  <c r="I521" i="1"/>
  <c r="H521" i="1"/>
  <c r="G521" i="1"/>
  <c r="F521" i="1"/>
  <c r="D11" i="13"/>
  <c r="B21" i="12"/>
  <c r="B19" i="12"/>
  <c r="B20" i="12" l="1"/>
  <c r="H400" i="1" l="1"/>
  <c r="J96" i="1"/>
  <c r="J472" i="1"/>
  <c r="G439" i="1"/>
  <c r="F473" i="1" l="1"/>
  <c r="H198" i="1"/>
  <c r="H582" i="1"/>
  <c r="G582" i="1"/>
  <c r="H591" i="1"/>
  <c r="H208" i="1"/>
  <c r="H244" i="1"/>
  <c r="J591" i="1"/>
  <c r="H604" i="1" l="1"/>
  <c r="H277" i="1"/>
  <c r="H276" i="1"/>
  <c r="F50" i="1"/>
  <c r="F12" i="1" l="1"/>
  <c r="H48" i="1"/>
  <c r="H49" i="1"/>
  <c r="H45" i="1"/>
  <c r="I332" i="1" l="1"/>
  <c r="G332" i="1"/>
  <c r="F332" i="1"/>
  <c r="H12" i="1"/>
  <c r="G469" i="1"/>
  <c r="G48" i="1"/>
  <c r="G49" i="1"/>
  <c r="F367" i="1"/>
  <c r="I358" i="1"/>
  <c r="G358" i="1"/>
  <c r="F31" i="1" l="1"/>
  <c r="H207" i="1"/>
  <c r="I204" i="1"/>
  <c r="K261" i="1"/>
  <c r="K260" i="1"/>
  <c r="H209" i="1"/>
  <c r="J207" i="1"/>
  <c r="I207" i="1"/>
  <c r="G207" i="1"/>
  <c r="F207" i="1"/>
  <c r="K205" i="1"/>
  <c r="I205" i="1"/>
  <c r="H205" i="1"/>
  <c r="G205" i="1"/>
  <c r="F205" i="1"/>
  <c r="K204" i="1"/>
  <c r="J204" i="1"/>
  <c r="H204" i="1"/>
  <c r="G204" i="1"/>
  <c r="F204" i="1"/>
  <c r="J203" i="1"/>
  <c r="I203" i="1"/>
  <c r="H203" i="1"/>
  <c r="G203" i="1"/>
  <c r="F203" i="1"/>
  <c r="H202" i="1"/>
  <c r="I202" i="1"/>
  <c r="G202" i="1"/>
  <c r="F202" i="1"/>
  <c r="K202" i="1"/>
  <c r="K198" i="1"/>
  <c r="J198" i="1"/>
  <c r="I198" i="1"/>
  <c r="G198" i="1"/>
  <c r="F198" i="1"/>
  <c r="G197" i="1"/>
  <c r="J197" i="1"/>
  <c r="I197" i="1"/>
  <c r="H197" i="1"/>
  <c r="F197" i="1"/>
  <c r="F499" i="1" l="1"/>
  <c r="F49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F111" i="1"/>
  <c r="F112" i="1" s="1"/>
  <c r="G111" i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47" i="1"/>
  <c r="F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7" i="2"/>
  <c r="C58" i="2"/>
  <c r="E58" i="2"/>
  <c r="C59" i="2"/>
  <c r="D59" i="2"/>
  <c r="E59" i="2"/>
  <c r="F59" i="2"/>
  <c r="D60" i="2"/>
  <c r="D62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20" i="2"/>
  <c r="C121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I32" i="1" s="1"/>
  <c r="G32" i="1"/>
  <c r="G52" i="1" s="1"/>
  <c r="H618" i="1" s="1"/>
  <c r="H32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F338" i="1" s="1"/>
  <c r="F352" i="1" s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F461" i="1"/>
  <c r="H639" i="1" s="1"/>
  <c r="G461" i="1"/>
  <c r="H461" i="1"/>
  <c r="I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H630" i="1"/>
  <c r="H634" i="1"/>
  <c r="H636" i="1"/>
  <c r="H638" i="1"/>
  <c r="G639" i="1"/>
  <c r="G640" i="1"/>
  <c r="H640" i="1"/>
  <c r="G641" i="1"/>
  <c r="H641" i="1"/>
  <c r="G643" i="1"/>
  <c r="H643" i="1"/>
  <c r="G644" i="1"/>
  <c r="G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L351" i="1"/>
  <c r="A31" i="12"/>
  <c r="A40" i="12"/>
  <c r="D12" i="13"/>
  <c r="C12" i="13" s="1"/>
  <c r="D18" i="13"/>
  <c r="C18" i="13" s="1"/>
  <c r="D17" i="13"/>
  <c r="C17" i="13" s="1"/>
  <c r="F78" i="2"/>
  <c r="F81" i="2" s="1"/>
  <c r="C78" i="2"/>
  <c r="D50" i="2"/>
  <c r="G157" i="2"/>
  <c r="F18" i="2"/>
  <c r="G156" i="2"/>
  <c r="E103" i="2"/>
  <c r="D91" i="2"/>
  <c r="E31" i="2"/>
  <c r="G62" i="2"/>
  <c r="D19" i="13"/>
  <c r="C19" i="13" s="1"/>
  <c r="E13" i="13"/>
  <c r="C13" i="13" s="1"/>
  <c r="E78" i="2"/>
  <c r="E81" i="2" s="1"/>
  <c r="L427" i="1"/>
  <c r="J641" i="1"/>
  <c r="J571" i="1"/>
  <c r="K571" i="1"/>
  <c r="L433" i="1"/>
  <c r="I169" i="1"/>
  <c r="H169" i="1"/>
  <c r="G552" i="1"/>
  <c r="J643" i="1"/>
  <c r="I476" i="1"/>
  <c r="H625" i="1" s="1"/>
  <c r="G338" i="1"/>
  <c r="G352" i="1" s="1"/>
  <c r="F169" i="1"/>
  <c r="J140" i="1"/>
  <c r="F571" i="1"/>
  <c r="I552" i="1"/>
  <c r="K550" i="1"/>
  <c r="G22" i="2"/>
  <c r="K545" i="1"/>
  <c r="C29" i="10"/>
  <c r="H140" i="1"/>
  <c r="F22" i="13"/>
  <c r="H571" i="1"/>
  <c r="L560" i="1"/>
  <c r="J545" i="1"/>
  <c r="G192" i="1"/>
  <c r="H192" i="1"/>
  <c r="L309" i="1"/>
  <c r="E16" i="13"/>
  <c r="L570" i="1"/>
  <c r="I571" i="1"/>
  <c r="J636" i="1"/>
  <c r="L565" i="1"/>
  <c r="G545" i="1"/>
  <c r="K551" i="1"/>
  <c r="C22" i="13"/>
  <c r="C16" i="13"/>
  <c r="H545" i="1" l="1"/>
  <c r="L544" i="1"/>
  <c r="L534" i="1"/>
  <c r="L529" i="1"/>
  <c r="K549" i="1"/>
  <c r="K552" i="1" s="1"/>
  <c r="F552" i="1"/>
  <c r="L524" i="1"/>
  <c r="L545" i="1" s="1"/>
  <c r="J639" i="1"/>
  <c r="J640" i="1"/>
  <c r="G408" i="1"/>
  <c r="H645" i="1" s="1"/>
  <c r="L393" i="1"/>
  <c r="C138" i="2" s="1"/>
  <c r="L401" i="1"/>
  <c r="C139" i="2" s="1"/>
  <c r="H408" i="1"/>
  <c r="H644" i="1" s="1"/>
  <c r="J644" i="1" s="1"/>
  <c r="J645" i="1"/>
  <c r="I460" i="1"/>
  <c r="I461" i="1" s="1"/>
  <c r="H642" i="1" s="1"/>
  <c r="J642" i="1" s="1"/>
  <c r="J651" i="1"/>
  <c r="D15" i="13"/>
  <c r="C15" i="13" s="1"/>
  <c r="C21" i="10"/>
  <c r="H257" i="1"/>
  <c r="H271" i="1" s="1"/>
  <c r="J625" i="1"/>
  <c r="J649" i="1"/>
  <c r="C16" i="10"/>
  <c r="L290" i="1"/>
  <c r="C11" i="10"/>
  <c r="E115" i="2"/>
  <c r="E145" i="2" s="1"/>
  <c r="J655" i="1"/>
  <c r="E57" i="2"/>
  <c r="E62" i="2" s="1"/>
  <c r="E63" i="2" s="1"/>
  <c r="I52" i="1"/>
  <c r="H620" i="1" s="1"/>
  <c r="J620" i="1" s="1"/>
  <c r="D29" i="13"/>
  <c r="C29" i="13" s="1"/>
  <c r="H661" i="1"/>
  <c r="I661" i="1" s="1"/>
  <c r="L362" i="1"/>
  <c r="G472" i="1" s="1"/>
  <c r="G661" i="1"/>
  <c r="D145" i="2"/>
  <c r="C17" i="10"/>
  <c r="L229" i="1"/>
  <c r="K257" i="1"/>
  <c r="K271" i="1" s="1"/>
  <c r="C119" i="2"/>
  <c r="H25" i="13"/>
  <c r="C25" i="13" s="1"/>
  <c r="H33" i="13"/>
  <c r="H647" i="1"/>
  <c r="J647" i="1" s="1"/>
  <c r="C124" i="2"/>
  <c r="F662" i="1"/>
  <c r="I662" i="1" s="1"/>
  <c r="D14" i="13"/>
  <c r="C14" i="13" s="1"/>
  <c r="E8" i="13"/>
  <c r="C8" i="13" s="1"/>
  <c r="D6" i="13"/>
  <c r="C6" i="13" s="1"/>
  <c r="C118" i="2"/>
  <c r="C110" i="2"/>
  <c r="L211" i="1"/>
  <c r="D5" i="13"/>
  <c r="C5" i="13" s="1"/>
  <c r="C109" i="2"/>
  <c r="C10" i="10"/>
  <c r="H617" i="1"/>
  <c r="J617" i="1" s="1"/>
  <c r="C18" i="2"/>
  <c r="D63" i="2"/>
  <c r="G112" i="1"/>
  <c r="C35" i="10"/>
  <c r="C36" i="10" s="1"/>
  <c r="K503" i="1"/>
  <c r="K500" i="1"/>
  <c r="C56" i="2"/>
  <c r="C63" i="2" s="1"/>
  <c r="C70" i="2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F193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G635" i="1"/>
  <c r="L408" i="1" l="1"/>
  <c r="H646" i="1" s="1"/>
  <c r="J646" i="1" s="1"/>
  <c r="C115" i="2"/>
  <c r="D31" i="13"/>
  <c r="C31" i="13" s="1"/>
  <c r="L338" i="1"/>
  <c r="L352" i="1" s="1"/>
  <c r="H472" i="1" s="1"/>
  <c r="F660" i="1"/>
  <c r="F664" i="1" s="1"/>
  <c r="F672" i="1" s="1"/>
  <c r="C4" i="10" s="1"/>
  <c r="E104" i="2"/>
  <c r="G629" i="1"/>
  <c r="H468" i="1"/>
  <c r="F51" i="2"/>
  <c r="H664" i="1"/>
  <c r="C27" i="10"/>
  <c r="C28" i="10" s="1"/>
  <c r="D24" i="10" s="1"/>
  <c r="H635" i="1"/>
  <c r="J635" i="1" s="1"/>
  <c r="G474" i="1"/>
  <c r="G672" i="1"/>
  <c r="C5" i="10" s="1"/>
  <c r="C128" i="2"/>
  <c r="E33" i="13"/>
  <c r="D35" i="13" s="1"/>
  <c r="L257" i="1"/>
  <c r="L271" i="1" s="1"/>
  <c r="G632" i="1" s="1"/>
  <c r="E35" i="2"/>
  <c r="E50" i="2" s="1"/>
  <c r="E51" i="2" s="1"/>
  <c r="H51" i="1"/>
  <c r="G627" i="1"/>
  <c r="F468" i="1"/>
  <c r="C104" i="2"/>
  <c r="C51" i="2"/>
  <c r="G631" i="1"/>
  <c r="D33" i="13"/>
  <c r="D36" i="13" s="1"/>
  <c r="G193" i="1"/>
  <c r="G626" i="1"/>
  <c r="J52" i="1"/>
  <c r="H621" i="1" s="1"/>
  <c r="J621" i="1" s="1"/>
  <c r="C38" i="10"/>
  <c r="G637" i="1" l="1"/>
  <c r="J468" i="1"/>
  <c r="C145" i="2"/>
  <c r="D11" i="10"/>
  <c r="F667" i="1"/>
  <c r="G633" i="1"/>
  <c r="I660" i="1"/>
  <c r="I664" i="1" s="1"/>
  <c r="I672" i="1" s="1"/>
  <c r="C7" i="10" s="1"/>
  <c r="D16" i="10"/>
  <c r="D20" i="10"/>
  <c r="H474" i="1"/>
  <c r="H633" i="1"/>
  <c r="H470" i="1"/>
  <c r="H629" i="1"/>
  <c r="J629" i="1" s="1"/>
  <c r="D13" i="10"/>
  <c r="C30" i="10"/>
  <c r="D26" i="10"/>
  <c r="D25" i="10"/>
  <c r="D22" i="10"/>
  <c r="D10" i="10"/>
  <c r="D15" i="10"/>
  <c r="D21" i="10"/>
  <c r="D23" i="10"/>
  <c r="D19" i="10"/>
  <c r="H667" i="1"/>
  <c r="H672" i="1"/>
  <c r="C6" i="10" s="1"/>
  <c r="D27" i="10"/>
  <c r="D18" i="10"/>
  <c r="D17" i="10"/>
  <c r="D12" i="10"/>
  <c r="F472" i="1"/>
  <c r="H632" i="1" s="1"/>
  <c r="J632" i="1" s="1"/>
  <c r="H52" i="1"/>
  <c r="H619" i="1" s="1"/>
  <c r="J619" i="1" s="1"/>
  <c r="G624" i="1"/>
  <c r="G628" i="1"/>
  <c r="G468" i="1"/>
  <c r="H627" i="1"/>
  <c r="J627" i="1" s="1"/>
  <c r="F470" i="1"/>
  <c r="C41" i="10"/>
  <c r="D38" i="10" s="1"/>
  <c r="H631" i="1" l="1"/>
  <c r="J631" i="1" s="1"/>
  <c r="J470" i="1"/>
  <c r="J476" i="1" s="1"/>
  <c r="H626" i="1" s="1"/>
  <c r="J626" i="1" s="1"/>
  <c r="H637" i="1"/>
  <c r="J637" i="1"/>
  <c r="F474" i="1"/>
  <c r="I667" i="1"/>
  <c r="J633" i="1"/>
  <c r="D28" i="10"/>
  <c r="H476" i="1"/>
  <c r="H624" i="1" s="1"/>
  <c r="J624" i="1" s="1"/>
  <c r="F476" i="1"/>
  <c r="H622" i="1" s="1"/>
  <c r="J622" i="1" s="1"/>
  <c r="H628" i="1"/>
  <c r="J628" i="1" s="1"/>
  <c r="G470" i="1"/>
  <c r="G476" i="1" s="1"/>
  <c r="H623" i="1" s="1"/>
  <c r="J623" i="1" s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<sst xmlns="http://schemas.openxmlformats.org/spreadsheetml/2006/main" count="3957" uniqueCount="915">
  <si>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</si>
  <si>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</si>
  <si>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</si>
  <si>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</si>
  <si>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</si>
  <si>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</si>
  <si>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</si>
  <si>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</si>
  <si>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</si>
  <si>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</si>
  <si>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</si>
  <si>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</si>
  <si>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</si>
  <si>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</si>
  <si>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</si>
  <si>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</si>
  <si>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</si>
  <si>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</si>
  <si>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</si>
  <si>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</si>
  <si>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</si>
  <si>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</si>
  <si>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</si>
  <si>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</si>
  <si>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</si>
  <si>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</si>
  <si>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</si>
  <si>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</si>
  <si>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</si>
  <si>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</si>
  <si>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</si>
  <si>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</si>
  <si>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</si>
  <si>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</si>
  <si>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</si>
  <si>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</si>
  <si>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</si>
  <si>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</si>
  <si>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</si>
  <si>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</si>
  <si>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</si>
  <si>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</si>
  <si>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</si>
  <si>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</si>
  <si>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</si>
  <si>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</si>
  <si>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</si>
  <si>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</si>
  <si>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</si>
  <si>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</si>
  <si>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</si>
  <si>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</si>
  <si>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</si>
  <si>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</si>
  <si>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</si>
  <si>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</si>
  <si>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</si>
  <si>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</si>
  <si>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</si>
  <si>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</si>
  <si>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</si>
  <si>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</si>
  <si>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</si>
  <si>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</si>
  <si>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</si>
  <si>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</si>
  <si>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</si>
  <si>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</si>
  <si>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</si>
  <si>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</si>
  <si>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</si>
  <si>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</si>
  <si>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</si>
  <si>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</si>
  <si>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</si>
  <si>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</si>
  <si>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</si>
  <si>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</si>
  <si>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</si>
  <si>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</si>
  <si>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</si>
  <si>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</si>
  <si>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</si>
  <si>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</si>
  <si>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</si>
  <si>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</si>
  <si>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</si>
  <si>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</si>
  <si>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</si>
  <si>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</si>
  <si>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</si>
  <si>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</si>
  <si>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</si>
  <si>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</si>
  <si>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</si>
  <si>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</si>
  <si>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</si>
  <si>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</si>
  <si>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</si>
  <si>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</si>
  <si>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</si>
  <si>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</si>
  <si>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</si>
  <si>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</si>
  <si>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</si>
  <si>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</si>
  <si>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</si>
  <si>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</si>
  <si>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</si>
  <si>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</si>
  <si>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</si>
  <si>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</si>
  <si>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</si>
  <si>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</si>
  <si>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</si>
  <si>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</si>
  <si>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</si>
  <si>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</si>
  <si>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</si>
  <si>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</si>
  <si>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</si>
  <si>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</si>
  <si>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</si>
  <si>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</si>
  <si>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</si>
  <si>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</si>
  <si>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</si>
  <si>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</si>
  <si>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</si>
  <si>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</si>
  <si>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</si>
  <si>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</si>
  <si>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</si>
  <si>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</si>
  <si>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</si>
  <si>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</si>
  <si>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</si>
  <si>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</si>
  <si>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</si>
  <si>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</si>
  <si>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</si>
  <si>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</si>
  <si>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</si>
  <si>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</si>
  <si>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</si>
  <si>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</si>
  <si>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</si>
  <si>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</si>
  <si>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</si>
  <si>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</si>
  <si>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</si>
  <si>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</si>
  <si>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</si>
  <si>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</si>
  <si>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</si>
  <si>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</si>
  <si>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</si>
  <si>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</si>
  <si>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</si>
  <si>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</si>
  <si>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</si>
  <si>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</si>
  <si>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</si>
  <si>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</si>
  <si>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</si>
  <si>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</si>
  <si>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</si>
  <si>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</si>
  <si>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</si>
  <si>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</si>
  <si>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</si>
  <si>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</si>
  <si>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</si>
  <si>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</si>
  <si>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</si>
  <si>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</si>
  <si>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</si>
  <si>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</si>
  <si>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</si>
  <si>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</si>
  <si>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</si>
  <si>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</si>
  <si>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</si>
  <si>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</si>
  <si>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</si>
  <si>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</si>
  <si>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</si>
  <si>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</si>
  <si>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</si>
  <si>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</si>
  <si>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</si>
  <si>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</si>
  <si>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</si>
  <si>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</si>
  <si>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</si>
  <si>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</si>
  <si>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</si>
  <si>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</si>
  <si>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</si>
  <si>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</si>
  <si>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</si>
  <si>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</si>
  <si>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</si>
  <si>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</si>
  <si>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</si>
  <si>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</si>
  <si>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</si>
  <si>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</si>
  <si>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</si>
  <si>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</si>
  <si>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</si>
  <si>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</si>
  <si>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</si>
  <si>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</si>
  <si>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</si>
  <si>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</si>
  <si>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</si>
  <si>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</si>
  <si>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</si>
  <si>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</si>
  <si>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</si>
  <si>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</si>
  <si>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</si>
  <si>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</si>
  <si>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</si>
  <si>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</si>
  <si>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</si>
  <si>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</si>
  <si>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</si>
  <si>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</si>
  <si>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</si>
  <si>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</si>
  <si>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</si>
  <si>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</si>
  <si>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</si>
  <si>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</si>
  <si>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</si>
  <si>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</si>
  <si>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</si>
  <si>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</si>
  <si>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</si>
  <si>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</si>
  <si>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</si>
  <si>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</si>
  <si>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</si>
  <si>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</si>
  <si>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</si>
  <si>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</si>
  <si>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</si>
  <si>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</si>
  <si>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</si>
  <si>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</si>
  <si>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</si>
  <si>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</si>
  <si>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</si>
  <si>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</si>
  <si>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</si>
  <si>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</si>
  <si>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</si>
  <si>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</si>
  <si>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</si>
  <si>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</si>
  <si>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</si>
  <si>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</si>
  <si>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</si>
  <si>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</si>
  <si>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</si>
  <si>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</si>
  <si>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</si>
  <si>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</si>
  <si>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</si>
  <si>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</si>
  <si>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</si>
  <si>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</si>
  <si>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</si>
  <si>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</si>
  <si>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</si>
  <si>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</si>
  <si>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</si>
  <si>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</si>
  <si>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</si>
  <si>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</si>
  <si>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</si>
  <si>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</si>
  <si>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</si>
  <si>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</si>
  <si>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</si>
  <si>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</si>
  <si>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</si>
  <si>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</si>
  <si>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</si>
  <si>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</si>
  <si>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</si>
  <si>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</si>
  <si>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</si>
  <si>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</si>
  <si>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</si>
  <si>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</si>
  <si>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</si>
  <si>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</si>
  <si>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</si>
  <si>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</si>
  <si>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</si>
  <si>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</si>
  <si>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</si>
  <si>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</si>
  <si>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</si>
  <si>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</si>
  <si>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</si>
  <si>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</si>
  <si>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</si>
  <si>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</si>
  <si>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</si>
  <si>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</si>
  <si>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</si>
  <si>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</si>
  <si>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</si>
  <si>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</si>
  <si>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</si>
  <si>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</si>
  <si>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</si>
  <si>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</si>
  <si>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</si>
  <si>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</si>
  <si>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</si>
  <si>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</si>
  <si>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</si>
  <si>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</si>
  <si>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</si>
  <si>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</si>
  <si>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</si>
  <si>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</si>
  <si>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</si>
  <si>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</si>
  <si>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</si>
  <si>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</si>
  <si>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</si>
  <si>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</si>
  <si>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</si>
  <si>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</si>
  <si>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</si>
  <si>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</si>
  <si>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</si>
  <si>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</si>
  <si>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</si>
  <si>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</si>
  <si>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</si>
  <si>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</si>
  <si>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</si>
  <si>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</si>
  <si>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</si>
  <si>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</si>
  <si>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</si>
  <si>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</si>
  <si>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</si>
  <si>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</si>
  <si>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</si>
  <si>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</si>
  <si>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</si>
  <si>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</si>
  <si>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</si>
  <si>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</si>
  <si>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</si>
  <si>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</si>
  <si>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</si>
  <si>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</si>
  <si>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</si>
  <si>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</si>
  <si>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</si>
  <si>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</si>
  <si>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</si>
  <si>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</si>
  <si>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</si>
  <si>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</si>
  <si>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</si>
  <si>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</si>
  <si>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</si>
  <si>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</si>
  <si>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</si>
  <si>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</si>
  <si>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</si>
  <si>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</si>
  <si>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</si>
  <si>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</si>
  <si>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</si>
  <si>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</si>
  <si>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</si>
  <si>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</si>
  <si>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</si>
  <si>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</si>
  <si>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</si>
  <si>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</si>
  <si>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</si>
  <si>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</si>
  <si>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</si>
  <si>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</si>
  <si>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</si>
  <si>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</si>
  <si>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</si>
  <si>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</si>
  <si>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</si>
  <si>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</si>
  <si>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</si>
  <si>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</si>
  <si>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</si>
  <si>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</si>
  <si>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</si>
  <si>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</si>
  <si>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</si>
  <si>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</si>
  <si>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</si>
  <si>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</si>
  <si>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</si>
  <si>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</si>
  <si>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</si>
  <si>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</si>
  <si>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</si>
  <si>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</si>
  <si>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</si>
  <si>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</si>
  <si>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</si>
  <si>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</si>
  <si>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</si>
  <si>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</si>
  <si>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</si>
  <si>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</si>
  <si>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</si>
  <si>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</si>
  <si>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</si>
  <si>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</si>
  <si>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</si>
  <si>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</si>
  <si>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</si>
  <si>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</si>
  <si>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</si>
  <si>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</si>
  <si>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</si>
  <si>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</si>
  <si>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</si>
  <si>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</si>
  <si>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</si>
  <si>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</si>
  <si>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</si>
  <si>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</si>
  <si>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</si>
  <si>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</si>
  <si>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</si>
  <si>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</si>
  <si>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</si>
  <si>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</si>
  <si>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</si>
  <si>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</si>
  <si>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</si>
  <si>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</si>
  <si>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</si>
  <si>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</si>
  <si>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</si>
  <si>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</si>
  <si>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</si>
  <si>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</si>
  <si>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</si>
  <si>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</si>
  <si>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</si>
  <si>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</si>
  <si>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</si>
  <si>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</si>
  <si>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</si>
  <si>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</si>
  <si>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</si>
  <si>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</si>
  <si>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</si>
  <si>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</si>
  <si>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</si>
  <si>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</si>
  <si>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</si>
  <si>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</si>
  <si>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</si>
  <si>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</si>
  <si>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</si>
  <si>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</si>
  <si>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</si>
  <si>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</si>
  <si>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</si>
  <si>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</si>
  <si>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</si>
  <si>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</si>
  <si>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</si>
  <si>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</si>
  <si>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</si>
  <si>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</si>
  <si>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</si>
  <si>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</si>
  <si>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</si>
  <si>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</si>
  <si>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</si>
  <si>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</si>
  <si>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</si>
  <si>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</si>
  <si>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</si>
  <si>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</si>
  <si>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</si>
  <si>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</si>
  <si>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</si>
  <si>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</si>
  <si>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</si>
  <si>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</si>
  <si>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</si>
  <si>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</si>
  <si>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</si>
  <si>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</si>
  <si>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</si>
  <si>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</si>
  <si>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</si>
  <si>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</si>
  <si>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</si>
  <si>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</si>
  <si>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</si>
  <si>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</si>
  <si>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</si>
  <si>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</si>
  <si>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</si>
  <si>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</si>
  <si>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</si>
  <si>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</si>
  <si>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</si>
  <si>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</si>
  <si>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</si>
  <si>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</si>
  <si>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</si>
  <si>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</si>
  <si>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</si>
  <si>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</si>
  <si>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</si>
  <si>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</si>
  <si>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</si>
  <si>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</si>
  <si>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</si>
  <si>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</si>
  <si>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</si>
  <si>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</si>
  <si>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</si>
  <si>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</si>
  <si>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</si>
  <si>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</si>
  <si>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</si>
  <si>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</si>
  <si>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</si>
  <si>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</si>
  <si>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</si>
  <si>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</si>
  <si>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</si>
  <si>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</si>
  <si>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</si>
  <si>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</si>
  <si>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</si>
  <si>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</si>
  <si>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</si>
  <si>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</si>
  <si>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</si>
  <si>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</si>
  <si>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</si>
  <si>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</si>
  <si>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</si>
  <si>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</si>
  <si>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</si>
  <si>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</si>
  <si>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</si>
  <si>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</si>
  <si>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</si>
  <si>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</si>
  <si>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</si>
  <si>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</si>
  <si>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</si>
  <si>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</si>
  <si>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</si>
  <si>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</si>
  <si>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</si>
  <si>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</si>
  <si>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</si>
  <si>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</si>
  <si>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</si>
  <si>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</si>
  <si>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</si>
  <si>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</si>
  <si>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</si>
  <si>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</si>
  <si>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</si>
  <si>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</si>
  <si>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</si>
  <si>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</si>
  <si>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</si>
  <si>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</si>
  <si>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</si>
  <si>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</si>
  <si>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</si>
  <si>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</si>
  <si>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</si>
  <si>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</si>
  <si>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</si>
  <si>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</si>
  <si>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</si>
  <si>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</si>
  <si>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</si>
  <si>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</si>
  <si>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</si>
  <si>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</si>
  <si>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</si>
  <si>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</si>
  <si>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</si>
  <si>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</si>
  <si>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</si>
  <si>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</si>
  <si>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</si>
  <si>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</si>
  <si>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</si>
  <si>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</si>
  <si>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</si>
  <si>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</si>
  <si>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</si>
  <si>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</si>
  <si>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</si>
  <si>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</si>
  <si>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</si>
  <si>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</si>
  <si>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</si>
  <si>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</si>
  <si>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</si>
  <si>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</si>
  <si>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</si>
  <si>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</si>
  <si>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</si>
  <si>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</si>
  <si>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</si>
  <si>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</si>
  <si>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</si>
  <si>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</si>
  <si>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</si>
  <si>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</si>
  <si>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</si>
  <si>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</si>
  <si>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</si>
  <si>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</si>
  <si>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</si>
  <si>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</si>
  <si>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</si>
  <si>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</si>
  <si>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</si>
  <si>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</si>
  <si>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</si>
  <si>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</si>
  <si>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</si>
  <si>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</si>
  <si>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</si>
  <si>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</si>
  <si>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</si>
  <si>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</si>
  <si>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</si>
  <si>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</si>
  <si>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</si>
  <si>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</si>
  <si>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</si>
  <si>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</si>
  <si>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</si>
  <si>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</si>
  <si>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</si>
  <si>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</si>
  <si>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</si>
  <si>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</si>
  <si>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</si>
  <si>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</si>
  <si>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</si>
  <si>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</si>
  <si>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</si>
  <si>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</si>
  <si>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</si>
  <si>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</si>
  <si>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</si>
  <si>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</si>
  <si>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</si>
  <si>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</si>
  <si>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</si>
  <si>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</si>
  <si>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</si>
  <si>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</si>
  <si>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</si>
  <si>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</si>
  <si>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</si>
  <si>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</si>
  <si>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</si>
  <si>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</si>
  <si>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</si>
  <si>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</si>
  <si>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</si>
  <si>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</si>
  <si>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</si>
  <si>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</si>
  <si>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</si>
  <si>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</si>
  <si>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</si>
  <si>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</si>
  <si>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</si>
  <si>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</si>
  <si>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</si>
  <si>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</si>
  <si>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</si>
  <si>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</si>
  <si>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</si>
  <si>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</si>
  <si>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</si>
  <si>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</si>
  <si>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</si>
  <si>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</si>
  <si>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</si>
  <si>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</si>
  <si>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</si>
  <si>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</si>
  <si>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</si>
  <si>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</si>
  <si>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</si>
  <si>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</si>
  <si>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</si>
  <si>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</si>
  <si>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</si>
  <si>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</si>
  <si>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</si>
  <si>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</si>
  <si>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</si>
  <si>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</si>
  <si>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</si>
  <si>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</si>
  <si>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</si>
  <si>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</si>
  <si>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</si>
  <si>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</si>
  <si>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</si>
  <si>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</si>
  <si>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</si>
  <si>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</si>
  <si>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</si>
  <si>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</si>
  <si>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</si>
  <si>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</si>
  <si>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</si>
  <si>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</si>
  <si>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</si>
  <si>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</si>
  <si>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</si>
  <si>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</si>
  <si>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</si>
  <si>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</si>
  <si>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</si>
  <si>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</si>
  <si>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</si>
  <si>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</si>
  <si>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</si>
  <si>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</si>
  <si>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</si>
  <si>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</si>
  <si>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</si>
  <si>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</si>
  <si>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</si>
  <si>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</si>
  <si>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</si>
  <si>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</si>
  <si>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</si>
  <si>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</si>
  <si>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</si>
  <si>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</si>
  <si>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</si>
  <si>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</si>
  <si>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</si>
  <si>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</si>
  <si>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</si>
  <si>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</si>
  <si>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</si>
  <si>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</si>
  <si>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</si>
  <si>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</si>
  <si>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</si>
  <si>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</si>
  <si>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</si>
  <si>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</si>
  <si>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</si>
  <si>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</si>
  <si>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</si>
  <si>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</si>
  <si>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</si>
  <si>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</si>
  <si>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</si>
  <si>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</si>
  <si>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</si>
  <si>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</si>
  <si>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</si>
  <si>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</si>
  <si>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</si>
  <si>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</si>
  <si>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</si>
  <si>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</si>
  <si>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</si>
  <si>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</si>
  <si>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</si>
  <si>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</si>
  <si>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</si>
  <si>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</si>
  <si>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</si>
  <si>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</si>
  <si>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</si>
  <si>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</si>
  <si>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</si>
  <si>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</si>
  <si>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</si>
  <si>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</si>
  <si>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</si>
  <si>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</si>
  <si>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</si>
  <si>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</si>
  <si>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</si>
  <si>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</si>
  <si>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</si>
  <si>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</si>
  <si>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</si>
  <si>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</si>
  <si>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</si>
  <si>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</si>
  <si>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</si>
  <si>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</si>
  <si>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</si>
  <si>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</si>
  <si>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</si>
  <si>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</si>
  <si>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</si>
  <si>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</si>
  <si>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</si>
  <si>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</si>
  <si>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</si>
  <si>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</si>
  <si>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</si>
  <si>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</si>
  <si>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</si>
  <si>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</si>
  <si>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</si>
  <si>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</si>
  <si>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</si>
  <si>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</si>
  <si>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</si>
  <si>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</si>
  <si>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</si>
  <si>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</si>
  <si>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</si>
  <si>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</si>
  <si>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</si>
  <si>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</si>
  <si>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</si>
  <si>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</si>
  <si>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</si>
  <si>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</si>
  <si>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</si>
  <si>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</si>
  <si>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</si>
  <si>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</si>
  <si>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</si>
  <si>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</si>
  <si>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</si>
  <si>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</si>
  <si>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</si>
  <si>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</si>
  <si>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</si>
  <si>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</si>
  <si>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</si>
  <si>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</si>
  <si>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</si>
  <si>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</si>
  <si>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</si>
  <si>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</si>
  <si>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</si>
  <si>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</si>
  <si>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</si>
  <si>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</si>
  <si>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</si>
  <si>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</si>
  <si>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</si>
  <si>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</si>
  <si>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</si>
  <si>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</si>
  <si>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</si>
  <si>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</si>
  <si>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</si>
  <si>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</si>
  <si>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</si>
  <si>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</si>
  <si>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</si>
  <si>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</si>
  <si>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</si>
  <si>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</si>
  <si>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</si>
  <si>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</si>
  <si>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</si>
  <si>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</si>
  <si>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</si>
  <si>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</si>
  <si>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</si>
  <si>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</si>
  <si>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</si>
  <si>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</si>
  <si>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</si>
  <si>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</si>
  <si>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</si>
  <si>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</si>
  <si>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</si>
  <si>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</si>
  <si>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</si>
  <si>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</si>
  <si>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12/08</t>
  </si>
  <si>
    <t>1/29</t>
  </si>
  <si>
    <t>Grantham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</si>
</sst>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9" sqref="F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211</v>
      </c>
      <c r="C2" s="21">
        <v>211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1502529</v>
      </c>
      <c r="G9" s="18"/>
      <c r="H9" s="18"/>
      <c r="I9" s="18"/>
      <c r="J9" s="67">
        <f>SUM(I439)</f>
        <v>582889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14136+2709</f>
        <v>16845</v>
      </c>
      <c r="G12" s="18"/>
      <c r="H12" s="18">
        <f>20123</f>
        <v>20123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100000</v>
      </c>
      <c r="G13" s="18">
        <v>1417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1619374</v>
      </c>
      <c r="G19" s="41">
        <f>SUM(G9:G18)</f>
        <v>1417</v>
      </c>
      <c r="H19" s="41">
        <f>SUM(H9:H18)</f>
        <v>20123</v>
      </c>
      <c r="I19" s="41">
        <f>SUM(I9:I18)</f>
        <v>0</v>
      </c>
      <c r="J19" s="41">
        <f>SUM(J9:J18)</f>
        <v>582889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14136</v>
      </c>
      <c r="H22" s="18">
        <v>2709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18973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-4674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700651</v>
      </c>
      <c r="G30" s="18"/>
      <c r="H30" s="18">
        <v>1404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f>20123+81033</f>
        <v>101156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816106</v>
      </c>
      <c r="G32" s="41">
        <f>SUM(G22:G31)</f>
        <v>14136</v>
      </c>
      <c r="H32" s="41">
        <f>SUM(H22:H31)</f>
        <v>4113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4950</v>
      </c>
      <c r="G45" s="18">
        <v>6156</v>
      </c>
      <c r="H45" s="18">
        <f>97+1</f>
        <v>98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13500</v>
      </c>
      <c r="G48" s="18">
        <f>-22719+10000</f>
        <v>-12719</v>
      </c>
      <c r="H48" s="18">
        <f>20153-30-7154+3041</f>
        <v>16010</v>
      </c>
      <c r="I48" s="18"/>
      <c r="J48" s="13">
        <f>SUM(I459)</f>
        <v>582889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-4950</v>
      </c>
      <c r="G49" s="18">
        <f>-6156</f>
        <v>-6156</v>
      </c>
      <c r="H49" s="18">
        <f>-97-1</f>
        <v>-98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458783+344485-100000-13500</f>
        <v>689768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803268</v>
      </c>
      <c r="G51" s="41">
        <f>SUM(G35:G50)</f>
        <v>-12719</v>
      </c>
      <c r="H51" s="41">
        <f>SUM(H35:H50)</f>
        <v>16010</v>
      </c>
      <c r="I51" s="41">
        <f>SUM(I35:I50)</f>
        <v>0</v>
      </c>
      <c r="J51" s="41">
        <f>SUM(J35:J50)</f>
        <v>582889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1619374</v>
      </c>
      <c r="G52" s="41">
        <f>G51+G32</f>
        <v>1417</v>
      </c>
      <c r="H52" s="41">
        <f>H51+H32</f>
        <v>20123</v>
      </c>
      <c r="I52" s="41">
        <f>I51+I32</f>
        <v>0</v>
      </c>
      <c r="J52" s="41">
        <f>J51+J32</f>
        <v>582889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6462728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6462728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>
        <v>56275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56275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3989</v>
      </c>
      <c r="G96" s="18"/>
      <c r="H96" s="18"/>
      <c r="I96" s="18"/>
      <c r="J96" s="18">
        <f>6754+110</f>
        <v>6864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51266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>
        <v>200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590</v>
      </c>
      <c r="G110" s="18"/>
      <c r="H110" s="18">
        <v>750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4579</v>
      </c>
      <c r="G111" s="41">
        <f>SUM(G96:G110)</f>
        <v>51266</v>
      </c>
      <c r="H111" s="41">
        <f>SUM(H96:H110)</f>
        <v>750</v>
      </c>
      <c r="I111" s="41">
        <f>SUM(I96:I110)</f>
        <v>0</v>
      </c>
      <c r="J111" s="41">
        <f>SUM(J96:J110)</f>
        <v>7064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6467307</v>
      </c>
      <c r="G112" s="41">
        <f>G60+G111</f>
        <v>51266</v>
      </c>
      <c r="H112" s="41">
        <f>H60+H79+H94+H111</f>
        <v>57025</v>
      </c>
      <c r="I112" s="41">
        <f>I60+I111</f>
        <v>0</v>
      </c>
      <c r="J112" s="41">
        <f>J60+J111</f>
        <v>7064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546714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1060878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505094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2112686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107513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39141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768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146654</v>
      </c>
      <c r="G136" s="41">
        <f>SUM(G123:G135)</f>
        <v>768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2259340</v>
      </c>
      <c r="G140" s="41">
        <f>G121+SUM(G136:G137)</f>
        <v>768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11691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14595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40192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17339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17339</v>
      </c>
      <c r="G162" s="41">
        <f>SUM(G150:G161)</f>
        <v>14595</v>
      </c>
      <c r="H162" s="41">
        <f>SUM(H150:H161)</f>
        <v>51883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17339</v>
      </c>
      <c r="G169" s="41">
        <f>G147+G162+SUM(G163:G168)</f>
        <v>14595</v>
      </c>
      <c r="H169" s="41">
        <f>H147+H162+SUM(H163:H168)</f>
        <v>51883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13500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13500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13500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8743986</v>
      </c>
      <c r="G193" s="47">
        <f>G112+G140+G169+G192</f>
        <v>80129</v>
      </c>
      <c r="H193" s="47">
        <f>H112+H140+H169+H192</f>
        <v>108908</v>
      </c>
      <c r="I193" s="47">
        <f>I112+I140+I169+I192</f>
        <v>0</v>
      </c>
      <c r="J193" s="47">
        <f>J112+J140+J192</f>
        <v>7064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1091792+44268+6915</f>
        <v>1142975</v>
      </c>
      <c r="G197" s="18">
        <f>9000+1400+805+249721+15316+4271+69642+16287+211+165610+1303+3950</f>
        <v>537516</v>
      </c>
      <c r="H197" s="18">
        <f>18980+2500+23585</f>
        <v>45065</v>
      </c>
      <c r="I197" s="18">
        <f>30084+10784+12769+1470+383</f>
        <v>55490</v>
      </c>
      <c r="J197" s="18">
        <f>5745+19142+13895</f>
        <v>38782</v>
      </c>
      <c r="K197" s="18"/>
      <c r="L197" s="19">
        <f>SUM(F197:K197)</f>
        <v>1819828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126070+46435+18962+201345</f>
        <v>392812</v>
      </c>
      <c r="G198" s="18">
        <f>210973+9569+1465+25944+6068+8204+20025+700+1214</f>
        <v>284162</v>
      </c>
      <c r="H198" s="18">
        <f>31979+16+1065+1553+500+2402</f>
        <v>37515</v>
      </c>
      <c r="I198" s="18">
        <f>3337+543</f>
        <v>3880</v>
      </c>
      <c r="J198" s="18">
        <f>54234</f>
        <v>54234</v>
      </c>
      <c r="K198" s="18">
        <f>915</f>
        <v>915</v>
      </c>
      <c r="L198" s="19">
        <f>SUM(F198:K198)</f>
        <v>773518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70405+59575+72518</f>
        <v>202498</v>
      </c>
      <c r="G202" s="18">
        <f>5180+266+4686+1096+11032+50+5181+1257+225+4002+936+9335+50+4496+1051+11079+50</f>
        <v>59972</v>
      </c>
      <c r="H202" s="18">
        <f>-101+22031+55749+9782</f>
        <v>87461</v>
      </c>
      <c r="I202" s="18">
        <f>500+3107+496+236</f>
        <v>4339</v>
      </c>
      <c r="J202" s="18"/>
      <c r="K202" s="18">
        <f>150</f>
        <v>150</v>
      </c>
      <c r="L202" s="19">
        <f t="shared" ref="L202:L208" si="0">SUM(F202:K202)</f>
        <v>354420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31811+82987</f>
        <v>114798</v>
      </c>
      <c r="G203" s="18">
        <f>6726+4029+5116+237+129+1912+447+4757+50+58+7675+355+312+5064+1184+9270+75+209</f>
        <v>47605</v>
      </c>
      <c r="H203" s="18">
        <f>6732+3109+172+16776+1134</f>
        <v>27923</v>
      </c>
      <c r="I203" s="18">
        <f>2447+1137+7267+293+2040+6964+2263</f>
        <v>22411</v>
      </c>
      <c r="J203" s="18">
        <f>745+838+4435</f>
        <v>6018</v>
      </c>
      <c r="K203" s="18"/>
      <c r="L203" s="19">
        <f t="shared" si="0"/>
        <v>218755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3225+158572+36288</f>
        <v>198085</v>
      </c>
      <c r="G204" s="18">
        <f>194+45+126+20721+1258+229+11486+2686+10489+250+500</f>
        <v>47984</v>
      </c>
      <c r="H204" s="18">
        <f>4142+5736+11600+7746+2787+503+6368+5527+3953+420+26+3641+609</f>
        <v>53058</v>
      </c>
      <c r="I204" s="18">
        <f>1509+4790+46+2230</f>
        <v>8575</v>
      </c>
      <c r="J204" s="18">
        <f>4060</f>
        <v>4060</v>
      </c>
      <c r="K204" s="18">
        <f>3202+1168</f>
        <v>4370</v>
      </c>
      <c r="L204" s="19">
        <f t="shared" si="0"/>
        <v>316132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157572</f>
        <v>157572</v>
      </c>
      <c r="G205" s="18">
        <f>62646+3803+687+9515+2225+6250+14882+3777+225+405</f>
        <v>104415</v>
      </c>
      <c r="H205" s="18">
        <f>6650+350+3154+3101+4174+3638</f>
        <v>21067</v>
      </c>
      <c r="I205" s="18">
        <f>1450+3359</f>
        <v>4809</v>
      </c>
      <c r="J205" s="18"/>
      <c r="K205" s="18">
        <f>780</f>
        <v>780</v>
      </c>
      <c r="L205" s="19">
        <f t="shared" si="0"/>
        <v>288643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113552+63699+202</f>
        <v>177453</v>
      </c>
      <c r="G207" s="18">
        <f>47223+2131+612+10545+2466+18636+225+4455</f>
        <v>86293</v>
      </c>
      <c r="H207" s="18">
        <f>7276+38140+8512+13386+12</f>
        <v>67326</v>
      </c>
      <c r="I207" s="18">
        <f>25412+17767+37680+481</f>
        <v>81340</v>
      </c>
      <c r="J207" s="18">
        <f>1416+1280</f>
        <v>2696</v>
      </c>
      <c r="K207" s="18"/>
      <c r="L207" s="19">
        <f t="shared" si="0"/>
        <v>415108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8425+103084</f>
        <v>111509</v>
      </c>
      <c r="I208" s="18"/>
      <c r="J208" s="18"/>
      <c r="K208" s="18"/>
      <c r="L208" s="19">
        <f t="shared" si="0"/>
        <v>111509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61625</f>
        <v>61625</v>
      </c>
      <c r="I209" s="18"/>
      <c r="J209" s="18"/>
      <c r="K209" s="18"/>
      <c r="L209" s="19">
        <f>SUM(F209:K209)</f>
        <v>61625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2386193</v>
      </c>
      <c r="G211" s="41">
        <f t="shared" si="1"/>
        <v>1167947</v>
      </c>
      <c r="H211" s="41">
        <f t="shared" si="1"/>
        <v>512549</v>
      </c>
      <c r="I211" s="41">
        <f t="shared" si="1"/>
        <v>180844</v>
      </c>
      <c r="J211" s="41">
        <f t="shared" si="1"/>
        <v>105790</v>
      </c>
      <c r="K211" s="41">
        <f t="shared" si="1"/>
        <v>6215</v>
      </c>
      <c r="L211" s="41">
        <f t="shared" si="1"/>
        <v>4359538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980970</v>
      </c>
      <c r="I215" s="18"/>
      <c r="J215" s="18"/>
      <c r="K215" s="18"/>
      <c r="L215" s="19">
        <f>SUM(F215:K215)</f>
        <v>980970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116206</v>
      </c>
      <c r="I216" s="18"/>
      <c r="J216" s="18"/>
      <c r="K216" s="18"/>
      <c r="L216" s="19">
        <f>SUM(F216:K216)</f>
        <v>116206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32987</v>
      </c>
      <c r="I226" s="18"/>
      <c r="J226" s="18"/>
      <c r="K226" s="18"/>
      <c r="L226" s="19">
        <f t="shared" si="2"/>
        <v>32987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1130163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1130163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2104606</v>
      </c>
      <c r="I233" s="18"/>
      <c r="J233" s="18"/>
      <c r="K233" s="18"/>
      <c r="L233" s="19">
        <f>SUM(F233:K233)</f>
        <v>2104606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99578</v>
      </c>
      <c r="I234" s="18"/>
      <c r="J234" s="18"/>
      <c r="K234" s="18"/>
      <c r="L234" s="19">
        <f>SUM(F234:K234)</f>
        <v>99578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20797+70096</f>
        <v>90893</v>
      </c>
      <c r="I244" s="18"/>
      <c r="J244" s="18"/>
      <c r="K244" s="18"/>
      <c r="L244" s="19">
        <f t="shared" si="4"/>
        <v>90893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2295077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2295077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2386193</v>
      </c>
      <c r="G257" s="41">
        <f t="shared" si="8"/>
        <v>1167947</v>
      </c>
      <c r="H257" s="41">
        <f t="shared" si="8"/>
        <v>3937789</v>
      </c>
      <c r="I257" s="41">
        <f t="shared" si="8"/>
        <v>180844</v>
      </c>
      <c r="J257" s="41">
        <f t="shared" si="8"/>
        <v>105790</v>
      </c>
      <c r="K257" s="41">
        <f t="shared" si="8"/>
        <v>6215</v>
      </c>
      <c r="L257" s="41">
        <f t="shared" si="8"/>
        <v>7784778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f>355000</f>
        <v>355000</v>
      </c>
      <c r="L260" s="19">
        <f>SUM(F260:K260)</f>
        <v>355000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f>243769</f>
        <v>243769</v>
      </c>
      <c r="L261" s="19">
        <f>SUM(F261:K261)</f>
        <v>243769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13500</v>
      </c>
      <c r="L263" s="19">
        <f>SUM(F263:K263)</f>
        <v>13500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612269</v>
      </c>
      <c r="L270" s="41">
        <f t="shared" si="9"/>
        <v>612269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2386193</v>
      </c>
      <c r="G271" s="42">
        <f t="shared" si="11"/>
        <v>1167947</v>
      </c>
      <c r="H271" s="42">
        <f t="shared" si="11"/>
        <v>3937789</v>
      </c>
      <c r="I271" s="42">
        <f t="shared" si="11"/>
        <v>180844</v>
      </c>
      <c r="J271" s="42">
        <f t="shared" si="11"/>
        <v>105790</v>
      </c>
      <c r="K271" s="42">
        <f t="shared" si="11"/>
        <v>618484</v>
      </c>
      <c r="L271" s="42">
        <f t="shared" si="11"/>
        <v>8397047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f>4952+750</f>
        <v>5702</v>
      </c>
      <c r="I276" s="18"/>
      <c r="J276" s="18"/>
      <c r="K276" s="18"/>
      <c r="L276" s="19">
        <f>SUM(F276:K276)</f>
        <v>5702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38955</v>
      </c>
      <c r="G277" s="18"/>
      <c r="H277" s="18">
        <f>1034+400</f>
        <v>1434</v>
      </c>
      <c r="I277" s="18"/>
      <c r="J277" s="18"/>
      <c r="K277" s="18"/>
      <c r="L277" s="19">
        <f>SUM(F277:K277)</f>
        <v>40389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3500</v>
      </c>
      <c r="I282" s="18"/>
      <c r="J282" s="18"/>
      <c r="K282" s="18"/>
      <c r="L282" s="19">
        <f t="shared" si="12"/>
        <v>3500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38955</v>
      </c>
      <c r="G290" s="42">
        <f t="shared" si="13"/>
        <v>0</v>
      </c>
      <c r="H290" s="42">
        <f t="shared" si="13"/>
        <v>10636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49591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f>24032+16569+6648</f>
        <v>47249</v>
      </c>
      <c r="G332" s="18">
        <f>2792+653+832+2247</f>
        <v>6524</v>
      </c>
      <c r="H332" s="18"/>
      <c r="I332" s="18">
        <f>2618-85</f>
        <v>2533</v>
      </c>
      <c r="J332" s="18"/>
      <c r="K332" s="18"/>
      <c r="L332" s="19">
        <f t="shared" ref="L332:L337" si="18">SUM(F332:K332)</f>
        <v>56306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47249</v>
      </c>
      <c r="G337" s="41">
        <f t="shared" si="19"/>
        <v>6524</v>
      </c>
      <c r="H337" s="41">
        <f t="shared" si="19"/>
        <v>0</v>
      </c>
      <c r="I337" s="41">
        <f t="shared" si="19"/>
        <v>2533</v>
      </c>
      <c r="J337" s="41">
        <f t="shared" si="19"/>
        <v>0</v>
      </c>
      <c r="K337" s="41">
        <f t="shared" si="19"/>
        <v>0</v>
      </c>
      <c r="L337" s="41">
        <f t="shared" si="18"/>
        <v>56306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86204</v>
      </c>
      <c r="G338" s="41">
        <f t="shared" si="20"/>
        <v>6524</v>
      </c>
      <c r="H338" s="41">
        <f t="shared" si="20"/>
        <v>10636</v>
      </c>
      <c r="I338" s="41">
        <f t="shared" si="20"/>
        <v>2533</v>
      </c>
      <c r="J338" s="41">
        <f t="shared" si="20"/>
        <v>0</v>
      </c>
      <c r="K338" s="41">
        <f t="shared" si="20"/>
        <v>0</v>
      </c>
      <c r="L338" s="41">
        <f t="shared" si="20"/>
        <v>105897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86204</v>
      </c>
      <c r="G352" s="41">
        <f>G338</f>
        <v>6524</v>
      </c>
      <c r="H352" s="41">
        <f>H338</f>
        <v>10636</v>
      </c>
      <c r="I352" s="41">
        <f>I338</f>
        <v>2533</v>
      </c>
      <c r="J352" s="41">
        <f>J338</f>
        <v>0</v>
      </c>
      <c r="K352" s="47">
        <f>K338+K351</f>
        <v>0</v>
      </c>
      <c r="L352" s="41">
        <f>L338+L351</f>
        <v>105897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41610</v>
      </c>
      <c r="G358" s="18">
        <f>15528+696+92+2447+572+75+105</f>
        <v>19515</v>
      </c>
      <c r="H358" s="18"/>
      <c r="I358" s="18">
        <f>2519+29644</f>
        <v>32163</v>
      </c>
      <c r="J358" s="18"/>
      <c r="K358" s="18"/>
      <c r="L358" s="13">
        <f>SUM(F358:K358)</f>
        <v>93288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41610</v>
      </c>
      <c r="G362" s="47">
        <f t="shared" si="22"/>
        <v>19515</v>
      </c>
      <c r="H362" s="47">
        <f t="shared" si="22"/>
        <v>0</v>
      </c>
      <c r="I362" s="47">
        <f t="shared" si="22"/>
        <v>32163</v>
      </c>
      <c r="J362" s="47">
        <f t="shared" si="22"/>
        <v>0</v>
      </c>
      <c r="K362" s="47">
        <f t="shared" si="22"/>
        <v>0</v>
      </c>
      <c r="L362" s="47">
        <f t="shared" si="22"/>
        <v>93288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2519+29644</f>
        <v>32163</v>
      </c>
      <c r="G367" s="18"/>
      <c r="H367" s="18"/>
      <c r="I367" s="56">
        <f>SUM(F367:H367)</f>
        <v>32163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32163</v>
      </c>
      <c r="G369" s="47">
        <f>SUM(G367:G368)</f>
        <v>0</v>
      </c>
      <c r="H369" s="47">
        <f>SUM(H367:H368)</f>
        <v>0</v>
      </c>
      <c r="I369" s="47">
        <f>SUM(I367:I368)</f>
        <v>32163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893</v>
      </c>
      <c r="I388" s="18"/>
      <c r="J388" s="24" t="s">
        <v>288</v>
      </c>
      <c r="K388" s="24" t="s">
        <v>288</v>
      </c>
      <c r="L388" s="56">
        <f t="shared" si="25"/>
        <v>893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688</v>
      </c>
      <c r="I392" s="18"/>
      <c r="J392" s="24" t="s">
        <v>288</v>
      </c>
      <c r="K392" s="24" t="s">
        <v>288</v>
      </c>
      <c r="L392" s="56">
        <f t="shared" si="25"/>
        <v>688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1581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1581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3410</v>
      </c>
      <c r="I397" s="18"/>
      <c r="J397" s="24" t="s">
        <v>288</v>
      </c>
      <c r="K397" s="24" t="s">
        <v>288</v>
      </c>
      <c r="L397" s="56">
        <f t="shared" si="26"/>
        <v>3410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1154</v>
      </c>
      <c r="I398" s="18"/>
      <c r="J398" s="24" t="s">
        <v>288</v>
      </c>
      <c r="K398" s="24" t="s">
        <v>288</v>
      </c>
      <c r="L398" s="56">
        <f t="shared" si="26"/>
        <v>1154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110+609</f>
        <v>719</v>
      </c>
      <c r="I400" s="18">
        <v>200</v>
      </c>
      <c r="J400" s="24" t="s">
        <v>288</v>
      </c>
      <c r="K400" s="24" t="s">
        <v>288</v>
      </c>
      <c r="L400" s="56">
        <f t="shared" si="26"/>
        <v>919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5283</v>
      </c>
      <c r="I401" s="47">
        <f>SUM(I395:I400)</f>
        <v>200</v>
      </c>
      <c r="J401" s="45" t="s">
        <v>288</v>
      </c>
      <c r="K401" s="45" t="s">
        <v>288</v>
      </c>
      <c r="L401" s="47">
        <f>SUM(L395:L400)</f>
        <v>5483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6864</v>
      </c>
      <c r="I408" s="47">
        <f>I393+I401+I407</f>
        <v>200</v>
      </c>
      <c r="J408" s="24" t="s">
        <v>288</v>
      </c>
      <c r="K408" s="24" t="s">
        <v>288</v>
      </c>
      <c r="L408" s="47">
        <f>L393+L401+L407</f>
        <v>7064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>
        <v>129</v>
      </c>
      <c r="I418" s="18"/>
      <c r="J418" s="18"/>
      <c r="K418" s="18"/>
      <c r="L418" s="56">
        <f t="shared" si="27"/>
        <v>129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129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129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1621</v>
      </c>
      <c r="I426" s="18"/>
      <c r="J426" s="18"/>
      <c r="K426" s="18"/>
      <c r="L426" s="56">
        <f t="shared" si="29"/>
        <v>1621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1621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1621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1750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1750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75767</v>
      </c>
      <c r="G439" s="18">
        <f>582889-75767</f>
        <v>507122</v>
      </c>
      <c r="H439" s="18"/>
      <c r="I439" s="56">
        <f t="shared" ref="I439:I445" si="33">SUM(F439:H439)</f>
        <v>582889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75767</v>
      </c>
      <c r="G446" s="13">
        <f>SUM(G439:G445)</f>
        <v>507122</v>
      </c>
      <c r="H446" s="13">
        <f>SUM(H439:H445)</f>
        <v>0</v>
      </c>
      <c r="I446" s="13">
        <f>SUM(I439:I445)</f>
        <v>582889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75767</v>
      </c>
      <c r="G459" s="18">
        <v>507122</v>
      </c>
      <c r="H459" s="18"/>
      <c r="I459" s="56">
        <f t="shared" si="34"/>
        <v>582889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75767</v>
      </c>
      <c r="G460" s="83">
        <f>SUM(G454:G459)</f>
        <v>507122</v>
      </c>
      <c r="H460" s="83">
        <f>SUM(H454:H459)</f>
        <v>0</v>
      </c>
      <c r="I460" s="83">
        <f>SUM(I454:I459)</f>
        <v>582889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75767</v>
      </c>
      <c r="G461" s="42">
        <f>G452+G460</f>
        <v>507122</v>
      </c>
      <c r="H461" s="42">
        <f>H452+H460</f>
        <v>0</v>
      </c>
      <c r="I461" s="42">
        <f>I452+I460</f>
        <v>582889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460446</v>
      </c>
      <c r="G465" s="18">
        <v>31</v>
      </c>
      <c r="H465" s="18">
        <v>34549</v>
      </c>
      <c r="I465" s="18"/>
      <c r="J465" s="18">
        <v>586543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8743986</v>
      </c>
      <c r="G468" s="18">
        <f>G193</f>
        <v>80129</v>
      </c>
      <c r="H468" s="18">
        <f>H193</f>
        <v>108908</v>
      </c>
      <c r="I468" s="18"/>
      <c r="J468" s="18">
        <f>L408</f>
        <v>7064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f>439-31+1</f>
        <v>409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8743986</v>
      </c>
      <c r="G470" s="53">
        <f>SUM(G468:G469)</f>
        <v>80538</v>
      </c>
      <c r="H470" s="53">
        <f>SUM(H468:H469)</f>
        <v>108908</v>
      </c>
      <c r="I470" s="53">
        <f>SUM(I468:I469)</f>
        <v>0</v>
      </c>
      <c r="J470" s="53">
        <f>SUM(J468:J469)</f>
        <v>7064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8397047</v>
      </c>
      <c r="G472" s="18">
        <f>L362</f>
        <v>93288</v>
      </c>
      <c r="H472" s="18">
        <f>L352</f>
        <v>105897</v>
      </c>
      <c r="I472" s="18"/>
      <c r="J472" s="18">
        <f>L434</f>
        <v>1750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4117</f>
        <v>4117</v>
      </c>
      <c r="G473" s="18"/>
      <c r="H473" s="18">
        <v>21550</v>
      </c>
      <c r="I473" s="18"/>
      <c r="J473" s="18">
        <v>8968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8401164</v>
      </c>
      <c r="G474" s="53">
        <f>SUM(G472:G473)</f>
        <v>93288</v>
      </c>
      <c r="H474" s="53">
        <f>SUM(H472:H473)</f>
        <v>127447</v>
      </c>
      <c r="I474" s="53">
        <f>SUM(I472:I473)</f>
        <v>0</v>
      </c>
      <c r="J474" s="53">
        <f>SUM(J472:J473)</f>
        <v>10718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803268</v>
      </c>
      <c r="G476" s="53">
        <f>(G465+G470)- G474</f>
        <v>-12719</v>
      </c>
      <c r="H476" s="53">
        <f>(H465+H470)- H474</f>
        <v>16010</v>
      </c>
      <c r="I476" s="53">
        <f>(I465+I470)- I474</f>
        <v>0</v>
      </c>
      <c r="J476" s="53">
        <f>(J465+J470)- J474</f>
        <v>582889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7150000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5.0999999999999996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4610000</v>
      </c>
      <c r="G495" s="18"/>
      <c r="H495" s="18"/>
      <c r="I495" s="18"/>
      <c r="J495" s="18"/>
      <c r="K495" s="53">
        <f>SUM(F495:J495)</f>
        <v>4610000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355000</v>
      </c>
      <c r="G497" s="18"/>
      <c r="H497" s="18"/>
      <c r="I497" s="18"/>
      <c r="J497" s="18"/>
      <c r="K497" s="53">
        <f t="shared" si="35"/>
        <v>355000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4255000</v>
      </c>
      <c r="G498" s="204"/>
      <c r="H498" s="204"/>
      <c r="I498" s="204"/>
      <c r="J498" s="204"/>
      <c r="K498" s="205">
        <f t="shared" si="35"/>
        <v>4255000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2050897-243768</f>
        <v>1807129</v>
      </c>
      <c r="G499" s="18"/>
      <c r="H499" s="18"/>
      <c r="I499" s="18"/>
      <c r="J499" s="18"/>
      <c r="K499" s="53">
        <f t="shared" si="35"/>
        <v>1807129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6062129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6062129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355000</v>
      </c>
      <c r="G501" s="204"/>
      <c r="H501" s="204"/>
      <c r="I501" s="204"/>
      <c r="J501" s="204"/>
      <c r="K501" s="205">
        <f t="shared" si="35"/>
        <v>355000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194018</v>
      </c>
      <c r="G502" s="18"/>
      <c r="H502" s="18"/>
      <c r="I502" s="18"/>
      <c r="J502" s="18"/>
      <c r="K502" s="53">
        <f t="shared" si="35"/>
        <v>194018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549018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549018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 t="shared" ref="F521:K521" si="36">F198+F277</f>
        <v>431767</v>
      </c>
      <c r="G521" s="18">
        <f t="shared" si="36"/>
        <v>284162</v>
      </c>
      <c r="H521" s="18">
        <f t="shared" si="36"/>
        <v>38949</v>
      </c>
      <c r="I521" s="18">
        <f t="shared" si="36"/>
        <v>3880</v>
      </c>
      <c r="J521" s="18">
        <f t="shared" si="36"/>
        <v>54234</v>
      </c>
      <c r="K521" s="18">
        <f t="shared" si="36"/>
        <v>915</v>
      </c>
      <c r="L521" s="88">
        <f>SUM(F521:K521)</f>
        <v>813907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99578</v>
      </c>
      <c r="I523" s="18"/>
      <c r="J523" s="18"/>
      <c r="K523" s="18"/>
      <c r="L523" s="88">
        <f>SUM(F523:K523)</f>
        <v>99578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431767</v>
      </c>
      <c r="G524" s="108">
        <f t="shared" ref="G524:L524" si="37">SUM(G521:G523)</f>
        <v>284162</v>
      </c>
      <c r="H524" s="108">
        <f t="shared" si="37"/>
        <v>138527</v>
      </c>
      <c r="I524" s="108">
        <f t="shared" si="37"/>
        <v>3880</v>
      </c>
      <c r="J524" s="108">
        <f t="shared" si="37"/>
        <v>54234</v>
      </c>
      <c r="K524" s="108">
        <f t="shared" si="37"/>
        <v>915</v>
      </c>
      <c r="L524" s="89">
        <f t="shared" si="37"/>
        <v>913485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72518</v>
      </c>
      <c r="G526" s="18">
        <f>4496+1051+11079+50</f>
        <v>16676</v>
      </c>
      <c r="H526" s="18">
        <f>22031+55749+9782</f>
        <v>87562</v>
      </c>
      <c r="I526" s="18">
        <f>236+496</f>
        <v>732</v>
      </c>
      <c r="J526" s="18"/>
      <c r="K526" s="18"/>
      <c r="L526" s="88">
        <f>SUM(F526:K526)</f>
        <v>177488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72518</v>
      </c>
      <c r="G529" s="89">
        <f t="shared" ref="G529:L529" si="38">SUM(G526:G528)</f>
        <v>16676</v>
      </c>
      <c r="H529" s="89">
        <f t="shared" si="38"/>
        <v>87562</v>
      </c>
      <c r="I529" s="89">
        <f t="shared" si="38"/>
        <v>732</v>
      </c>
      <c r="J529" s="89">
        <f t="shared" si="38"/>
        <v>0</v>
      </c>
      <c r="K529" s="89">
        <f t="shared" si="38"/>
        <v>0</v>
      </c>
      <c r="L529" s="89">
        <f t="shared" si="38"/>
        <v>177488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46435</v>
      </c>
      <c r="G531" s="18">
        <v>3794</v>
      </c>
      <c r="H531" s="18"/>
      <c r="I531" s="18"/>
      <c r="J531" s="18"/>
      <c r="K531" s="18"/>
      <c r="L531" s="88">
        <f>SUM(F531:K531)</f>
        <v>50229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46435</v>
      </c>
      <c r="G534" s="89">
        <f t="shared" ref="G534:L534" si="39">SUM(G531:G533)</f>
        <v>3794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50229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20797</v>
      </c>
      <c r="I543" s="18"/>
      <c r="J543" s="18"/>
      <c r="K543" s="18"/>
      <c r="L543" s="88">
        <f>SUM(F543:K543)</f>
        <v>20797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20797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20797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550720</v>
      </c>
      <c r="G545" s="89">
        <f t="shared" ref="G545:L545" si="42">G524+G529+G534+G539+G544</f>
        <v>304632</v>
      </c>
      <c r="H545" s="89">
        <f t="shared" si="42"/>
        <v>246886</v>
      </c>
      <c r="I545" s="89">
        <f t="shared" si="42"/>
        <v>4612</v>
      </c>
      <c r="J545" s="89">
        <f t="shared" si="42"/>
        <v>54234</v>
      </c>
      <c r="K545" s="89">
        <f t="shared" si="42"/>
        <v>915</v>
      </c>
      <c r="L545" s="89">
        <f t="shared" si="42"/>
        <v>1161999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813907</v>
      </c>
      <c r="G549" s="87">
        <f>L526</f>
        <v>177488</v>
      </c>
      <c r="H549" s="87">
        <f>L531</f>
        <v>50229</v>
      </c>
      <c r="I549" s="87">
        <f>L536</f>
        <v>0</v>
      </c>
      <c r="J549" s="87">
        <f>L541</f>
        <v>0</v>
      </c>
      <c r="K549" s="87">
        <f>SUM(F549:J549)</f>
        <v>1041624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99578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20797</v>
      </c>
      <c r="K551" s="87">
        <f>SUM(F551:J551)</f>
        <v>120375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913485</v>
      </c>
      <c r="G552" s="89">
        <f t="shared" si="43"/>
        <v>177488</v>
      </c>
      <c r="H552" s="89">
        <f t="shared" si="43"/>
        <v>50229</v>
      </c>
      <c r="I552" s="89">
        <f t="shared" si="43"/>
        <v>0</v>
      </c>
      <c r="J552" s="89">
        <f t="shared" si="43"/>
        <v>20797</v>
      </c>
      <c r="K552" s="89">
        <f t="shared" si="43"/>
        <v>1161999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980970</v>
      </c>
      <c r="H575" s="18">
        <v>2104605</v>
      </c>
      <c r="I575" s="87">
        <f>SUM(F575:H575)</f>
        <v>3085575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f>116206</f>
        <v>116206</v>
      </c>
      <c r="H582" s="18">
        <f>61840+25343+(215784-203389)</f>
        <v>99578</v>
      </c>
      <c r="I582" s="87">
        <f t="shared" si="48"/>
        <v>215784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103084</f>
        <v>103084</v>
      </c>
      <c r="I591" s="18">
        <v>32987</v>
      </c>
      <c r="J591" s="18">
        <f>206167-32987-103084</f>
        <v>70096</v>
      </c>
      <c r="K591" s="104">
        <f t="shared" ref="K591:K597" si="49">SUM(H591:J591)</f>
        <v>206167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20797</v>
      </c>
      <c r="K592" s="104">
        <f t="shared" si="49"/>
        <v>20797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8425</v>
      </c>
      <c r="I595" s="18"/>
      <c r="J595" s="18"/>
      <c r="K595" s="104">
        <f t="shared" si="49"/>
        <v>8425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111509</v>
      </c>
      <c r="I598" s="108">
        <f>SUM(I591:I597)</f>
        <v>32987</v>
      </c>
      <c r="J598" s="108">
        <f>SUM(J591:J597)</f>
        <v>90893</v>
      </c>
      <c r="K598" s="108">
        <f>SUM(K591:K597)</f>
        <v>235389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</f>
        <v>105790</v>
      </c>
      <c r="I604" s="18"/>
      <c r="J604" s="18"/>
      <c r="K604" s="104">
        <f>SUM(H604:J604)</f>
        <v>105790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105790</v>
      </c>
      <c r="I605" s="108">
        <f>SUM(I602:I604)</f>
        <v>0</v>
      </c>
      <c r="J605" s="108">
        <f>SUM(J602:J604)</f>
        <v>0</v>
      </c>
      <c r="K605" s="108">
        <f>SUM(K602:K604)</f>
        <v>105790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1619374</v>
      </c>
      <c r="H617" s="109">
        <f>SUM(F52)</f>
        <v>1619374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1417</v>
      </c>
      <c r="H618" s="109">
        <f>SUM(G52)</f>
        <v>1417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20123</v>
      </c>
      <c r="H619" s="109">
        <f>SUM(H52)</f>
        <v>20123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582889</v>
      </c>
      <c r="H621" s="109">
        <f>SUM(J52)</f>
        <v>582889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803268</v>
      </c>
      <c r="H622" s="109">
        <f>F476</f>
        <v>803268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-12719</v>
      </c>
      <c r="H623" s="109">
        <f>G476</f>
        <v>-12719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16010</v>
      </c>
      <c r="H624" s="109">
        <f>H476</f>
        <v>16010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582889</v>
      </c>
      <c r="H626" s="109">
        <f>J476</f>
        <v>582889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8743986</v>
      </c>
      <c r="H627" s="104">
        <f>SUM(F468)</f>
        <v>8743986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80129</v>
      </c>
      <c r="H628" s="104">
        <f>SUM(G468)</f>
        <v>80129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108908</v>
      </c>
      <c r="H629" s="104">
        <f>SUM(H468)</f>
        <v>108908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7064</v>
      </c>
      <c r="H631" s="104">
        <f>SUM(J468)</f>
        <v>7064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8397047</v>
      </c>
      <c r="H632" s="104">
        <f>SUM(F472)</f>
        <v>8397047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105897</v>
      </c>
      <c r="H633" s="104">
        <f>SUM(H472)</f>
        <v>105897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32163</v>
      </c>
      <c r="H634" s="104">
        <f>I369</f>
        <v>32163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93288</v>
      </c>
      <c r="H635" s="104">
        <f>SUM(G472)</f>
        <v>93288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7064</v>
      </c>
      <c r="H637" s="164">
        <f>SUM(J468)</f>
        <v>7064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1750</v>
      </c>
      <c r="H638" s="164">
        <f>SUM(J472)</f>
        <v>1750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75767</v>
      </c>
      <c r="H639" s="104">
        <f>SUM(F461)</f>
        <v>75767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507122</v>
      </c>
      <c r="H640" s="104">
        <f>SUM(G461)</f>
        <v>507122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582889</v>
      </c>
      <c r="H642" s="104">
        <f>SUM(I461)</f>
        <v>582889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6864</v>
      </c>
      <c r="H644" s="104">
        <f>H408</f>
        <v>6864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7064</v>
      </c>
      <c r="H646" s="104">
        <f>L408</f>
        <v>7064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235389</v>
      </c>
      <c r="H647" s="104">
        <f>L208+L226+L244</f>
        <v>235389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105790</v>
      </c>
      <c r="H648" s="104">
        <f>(J257+J338)-(J255+J336)</f>
        <v>105790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111509</v>
      </c>
      <c r="H649" s="104">
        <f>H598</f>
        <v>111509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32987</v>
      </c>
      <c r="H650" s="104">
        <f>I598</f>
        <v>32987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90893</v>
      </c>
      <c r="H651" s="104">
        <f>J598</f>
        <v>90893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13500</v>
      </c>
      <c r="H652" s="104">
        <f>K263+K345</f>
        <v>13500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4502417</v>
      </c>
      <c r="G660" s="19">
        <f>(L229+L309+L359)</f>
        <v>1130163</v>
      </c>
      <c r="H660" s="19">
        <f>(L247+L328+L360)</f>
        <v>2295077</v>
      </c>
      <c r="I660" s="19">
        <f>SUM(F660:H660)</f>
        <v>7927657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51266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51266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111509</v>
      </c>
      <c r="G662" s="19">
        <f>(L226+L306)-(J226+J306)</f>
        <v>32987</v>
      </c>
      <c r="H662" s="19">
        <f>(L244+L325)-(J244+J325)</f>
        <v>90893</v>
      </c>
      <c r="I662" s="19">
        <f>SUM(F662:H662)</f>
        <v>235389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105790</v>
      </c>
      <c r="G663" s="199">
        <f>SUM(G575:G587)+SUM(I602:I604)+L612</f>
        <v>1097176</v>
      </c>
      <c r="H663" s="199">
        <f>SUM(H575:H587)+SUM(J602:J604)+L613</f>
        <v>2204183</v>
      </c>
      <c r="I663" s="19">
        <f>SUM(F663:H663)</f>
        <v>3407149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4233852</v>
      </c>
      <c r="G664" s="19">
        <f>G660-SUM(G661:G663)</f>
        <v>0</v>
      </c>
      <c r="H664" s="19">
        <f>H660-SUM(H661:H663)</f>
        <v>1</v>
      </c>
      <c r="I664" s="19">
        <f>I660-SUM(I661:I663)</f>
        <v>4233853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206.78</v>
      </c>
      <c r="G665" s="248"/>
      <c r="H665" s="248"/>
      <c r="I665" s="19">
        <f>SUM(F665:H665)</f>
        <v>206.78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20475.150000000001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20475.16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</v>
      </c>
      <c r="I669" s="19">
        <f>SUM(F669:H669)</f>
        <v>-1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20475.150000000001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20475.150000000001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8" sqref="B28:B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Grantham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1142975</v>
      </c>
      <c r="C9" s="229">
        <f>'DOE25'!G197+'DOE25'!G215+'DOE25'!G233+'DOE25'!G276+'DOE25'!G295+'DOE25'!G314</f>
        <v>537516</v>
      </c>
    </row>
    <row r="10" spans="1:3" x14ac:dyDescent="0.2">
      <c r="A10" t="s">
        <v>778</v>
      </c>
      <c r="B10" s="240">
        <v>1142975</v>
      </c>
      <c r="C10" s="240">
        <v>537516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1142975</v>
      </c>
      <c r="C13" s="231">
        <f>SUM(C10:C12)</f>
        <v>537516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431767</v>
      </c>
      <c r="C18" s="229">
        <f>'DOE25'!G198+'DOE25'!G216+'DOE25'!G234+'DOE25'!G277+'DOE25'!G296+'DOE25'!G315</f>
        <v>284162</v>
      </c>
    </row>
    <row r="19" spans="1:3" x14ac:dyDescent="0.2">
      <c r="A19" t="s">
        <v>778</v>
      </c>
      <c r="B19" s="240">
        <f>126070+38955+18962</f>
        <v>183987</v>
      </c>
      <c r="C19" s="240">
        <v>111239</v>
      </c>
    </row>
    <row r="20" spans="1:3" x14ac:dyDescent="0.2">
      <c r="A20" t="s">
        <v>779</v>
      </c>
      <c r="B20" s="240">
        <f>201345</f>
        <v>201345</v>
      </c>
      <c r="C20" s="240">
        <v>169129</v>
      </c>
    </row>
    <row r="21" spans="1:3" x14ac:dyDescent="0.2">
      <c r="A21" t="s">
        <v>780</v>
      </c>
      <c r="B21" s="240">
        <f>46435</f>
        <v>46435</v>
      </c>
      <c r="C21" s="240">
        <v>3794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431767</v>
      </c>
      <c r="C22" s="231">
        <f>SUM(C19:C21)</f>
        <v>284162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7" activePane="bottomLeft" state="frozen"/>
      <selection activeCell="F46" sqref="F46"/>
      <selection pane="bottomLeft" activeCell="F37" sqref="F37:F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Grantham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5894706</v>
      </c>
      <c r="D5" s="20">
        <f>SUM('DOE25'!L197:L200)+SUM('DOE25'!L215:L218)+SUM('DOE25'!L233:L236)-F5-G5</f>
        <v>5800775</v>
      </c>
      <c r="E5" s="243"/>
      <c r="F5" s="255">
        <f>SUM('DOE25'!J197:J200)+SUM('DOE25'!J215:J218)+SUM('DOE25'!J233:J236)</f>
        <v>93016</v>
      </c>
      <c r="G5" s="53">
        <f>SUM('DOE25'!K197:K200)+SUM('DOE25'!K215:K218)+SUM('DOE25'!K233:K236)</f>
        <v>915</v>
      </c>
      <c r="H5" s="259"/>
    </row>
    <row r="6" spans="1:9" x14ac:dyDescent="0.2">
      <c r="A6" s="32">
        <v>2100</v>
      </c>
      <c r="B6" t="s">
        <v>800</v>
      </c>
      <c r="C6" s="245">
        <f t="shared" si="0"/>
        <v>354420</v>
      </c>
      <c r="D6" s="20">
        <f>'DOE25'!L202+'DOE25'!L220+'DOE25'!L238-F6-G6</f>
        <v>354270</v>
      </c>
      <c r="E6" s="243"/>
      <c r="F6" s="255">
        <f>'DOE25'!J202+'DOE25'!J220+'DOE25'!J238</f>
        <v>0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218755</v>
      </c>
      <c r="D7" s="20">
        <f>'DOE25'!L203+'DOE25'!L221+'DOE25'!L239-F7-G7</f>
        <v>212737</v>
      </c>
      <c r="E7" s="243"/>
      <c r="F7" s="255">
        <f>'DOE25'!J203+'DOE25'!J221+'DOE25'!J239</f>
        <v>6018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147847</v>
      </c>
      <c r="D8" s="243"/>
      <c r="E8" s="20">
        <f>'DOE25'!L204+'DOE25'!L222+'DOE25'!L240-F8-G8-D9-D11</f>
        <v>139417</v>
      </c>
      <c r="F8" s="255">
        <f>'DOE25'!J204+'DOE25'!J222+'DOE25'!J240</f>
        <v>4060</v>
      </c>
      <c r="G8" s="53">
        <f>'DOE25'!K204+'DOE25'!K222+'DOE25'!K240</f>
        <v>4370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39757</v>
      </c>
      <c r="D9" s="244">
        <v>39757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11600</v>
      </c>
      <c r="D10" s="243"/>
      <c r="E10" s="244">
        <v>11600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128528</v>
      </c>
      <c r="D11" s="244">
        <f>83899+42129+2500</f>
        <v>128528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288643</v>
      </c>
      <c r="D12" s="20">
        <f>'DOE25'!L205+'DOE25'!L223+'DOE25'!L241-F12-G12</f>
        <v>287863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415108</v>
      </c>
      <c r="D14" s="20">
        <f>'DOE25'!L207+'DOE25'!L225+'DOE25'!L243-F14-G14</f>
        <v>412412</v>
      </c>
      <c r="E14" s="243"/>
      <c r="F14" s="255">
        <f>'DOE25'!J207+'DOE25'!J225+'DOE25'!J243</f>
        <v>2696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235389</v>
      </c>
      <c r="D15" s="20">
        <f>'DOE25'!L208+'DOE25'!L226+'DOE25'!L244-F15-G15</f>
        <v>235389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61625</v>
      </c>
      <c r="D16" s="243"/>
      <c r="E16" s="20">
        <f>'DOE25'!L209+'DOE25'!L227+'DOE25'!L245-F16-G16</f>
        <v>61625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598769</v>
      </c>
      <c r="D25" s="243"/>
      <c r="E25" s="243"/>
      <c r="F25" s="258"/>
      <c r="G25" s="256"/>
      <c r="H25" s="257">
        <f>'DOE25'!L260+'DOE25'!L261+'DOE25'!L341+'DOE25'!L342</f>
        <v>598769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61125</v>
      </c>
      <c r="D29" s="20">
        <f>'DOE25'!L358+'DOE25'!L359+'DOE25'!L360-'DOE25'!I367-F29-G29</f>
        <v>61125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49591</v>
      </c>
      <c r="D31" s="20">
        <f>'DOE25'!L290+'DOE25'!L309+'DOE25'!L328+'DOE25'!L333+'DOE25'!L334+'DOE25'!L335-F31-G31</f>
        <v>49591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7582447</v>
      </c>
      <c r="E33" s="246">
        <f>SUM(E5:E31)</f>
        <v>212642</v>
      </c>
      <c r="F33" s="246">
        <f>SUM(F5:F31)</f>
        <v>105790</v>
      </c>
      <c r="G33" s="246">
        <f>SUM(G5:G31)</f>
        <v>6215</v>
      </c>
      <c r="H33" s="246">
        <f>SUM(H5:H31)</f>
        <v>598769</v>
      </c>
    </row>
    <row r="35" spans="2:8" ht="12" thickBot="1" x14ac:dyDescent="0.25">
      <c r="B35" s="253" t="s">
        <v>846</v>
      </c>
      <c r="D35" s="254">
        <f>E33</f>
        <v>212642</v>
      </c>
      <c r="E35" s="249"/>
    </row>
    <row r="36" spans="2:8" ht="12" thickTop="1" x14ac:dyDescent="0.2">
      <c r="B36" t="s">
        <v>814</v>
      </c>
      <c r="D36" s="20">
        <f>D33</f>
        <v>7582447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1502529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582889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16845</v>
      </c>
      <c r="D11" s="95">
        <f>'DOE25'!G12</f>
        <v>0</v>
      </c>
      <c r="E11" s="95">
        <f>'DOE25'!H12</f>
        <v>20123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100000</v>
      </c>
      <c r="D12" s="95">
        <f>'DOE25'!G13</f>
        <v>1417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1619374</v>
      </c>
      <c r="D18" s="41">
        <f>SUM(D8:D17)</f>
        <v>1417</v>
      </c>
      <c r="E18" s="41">
        <f>SUM(E8:E17)</f>
        <v>20123</v>
      </c>
      <c r="F18" s="41">
        <f>SUM(F8:F17)</f>
        <v>0</v>
      </c>
      <c r="G18" s="41">
        <f>SUM(G8:G17)</f>
        <v>582889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14136</v>
      </c>
      <c r="E21" s="95">
        <f>'DOE25'!H22</f>
        <v>2709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18973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-4674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700651</v>
      </c>
      <c r="D29" s="95">
        <f>'DOE25'!G30</f>
        <v>0</v>
      </c>
      <c r="E29" s="95">
        <f>'DOE25'!H30</f>
        <v>1404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101156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816106</v>
      </c>
      <c r="D31" s="41">
        <f>SUM(D21:D30)</f>
        <v>14136</v>
      </c>
      <c r="E31" s="41">
        <f>SUM(E21:E30)</f>
        <v>4113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4950</v>
      </c>
      <c r="D44" s="95">
        <f>'DOE25'!G45</f>
        <v>6156</v>
      </c>
      <c r="E44" s="95">
        <f>'DOE25'!H45</f>
        <v>98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13500</v>
      </c>
      <c r="D47" s="95">
        <f>'DOE25'!G48</f>
        <v>-12719</v>
      </c>
      <c r="E47" s="95">
        <f>'DOE25'!H48</f>
        <v>16010</v>
      </c>
      <c r="F47" s="95">
        <f>'DOE25'!I48</f>
        <v>0</v>
      </c>
      <c r="G47" s="95">
        <f>'DOE25'!J48</f>
        <v>582889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-4950</v>
      </c>
      <c r="D48" s="95">
        <f>'DOE25'!G49</f>
        <v>-6156</v>
      </c>
      <c r="E48" s="95">
        <f>'DOE25'!H49</f>
        <v>-98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689768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803268</v>
      </c>
      <c r="D50" s="41">
        <f>SUM(D34:D49)</f>
        <v>-12719</v>
      </c>
      <c r="E50" s="41">
        <f>SUM(E34:E49)</f>
        <v>16010</v>
      </c>
      <c r="F50" s="41">
        <f>SUM(F34:F49)</f>
        <v>0</v>
      </c>
      <c r="G50" s="41">
        <f>SUM(G34:G49)</f>
        <v>582889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1619374</v>
      </c>
      <c r="D51" s="41">
        <f>D50+D31</f>
        <v>1417</v>
      </c>
      <c r="E51" s="41">
        <f>E50+E31</f>
        <v>20123</v>
      </c>
      <c r="F51" s="41">
        <f>F50+F31</f>
        <v>0</v>
      </c>
      <c r="G51" s="41">
        <f>G50+G31</f>
        <v>582889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6462728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56275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3989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6864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51266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590</v>
      </c>
      <c r="D61" s="95">
        <f>SUM('DOE25'!G98:G110)</f>
        <v>0</v>
      </c>
      <c r="E61" s="95">
        <f>SUM('DOE25'!H98:H110)</f>
        <v>750</v>
      </c>
      <c r="F61" s="95">
        <f>SUM('DOE25'!I98:I110)</f>
        <v>0</v>
      </c>
      <c r="G61" s="95">
        <f>SUM('DOE25'!J98:J110)</f>
        <v>200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4579</v>
      </c>
      <c r="D62" s="130">
        <f>SUM(D57:D61)</f>
        <v>51266</v>
      </c>
      <c r="E62" s="130">
        <f>SUM(E57:E61)</f>
        <v>57025</v>
      </c>
      <c r="F62" s="130">
        <f>SUM(F57:F61)</f>
        <v>0</v>
      </c>
      <c r="G62" s="130">
        <f>SUM(G57:G61)</f>
        <v>7064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6467307</v>
      </c>
      <c r="D63" s="22">
        <f>D56+D62</f>
        <v>51266</v>
      </c>
      <c r="E63" s="22">
        <f>E56+E62</f>
        <v>57025</v>
      </c>
      <c r="F63" s="22">
        <f>F56+F62</f>
        <v>0</v>
      </c>
      <c r="G63" s="22">
        <f>G56+G62</f>
        <v>7064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546714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1060878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505094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2112686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107513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39141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768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146654</v>
      </c>
      <c r="D78" s="130">
        <f>SUM(D72:D77)</f>
        <v>768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2259340</v>
      </c>
      <c r="D81" s="130">
        <f>SUM(D79:D80)+D78+D70</f>
        <v>768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17339</v>
      </c>
      <c r="D88" s="95">
        <f>SUM('DOE25'!G153:G161)</f>
        <v>14595</v>
      </c>
      <c r="E88" s="95">
        <f>SUM('DOE25'!H153:H161)</f>
        <v>51883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17339</v>
      </c>
      <c r="D91" s="131">
        <f>SUM(D85:D90)</f>
        <v>14595</v>
      </c>
      <c r="E91" s="131">
        <f>SUM(E85:E90)</f>
        <v>51883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13500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13500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8743986</v>
      </c>
      <c r="D104" s="86">
        <f>D63+D81+D91+D103</f>
        <v>80129</v>
      </c>
      <c r="E104" s="86">
        <f>E63+E81+E91+E103</f>
        <v>108908</v>
      </c>
      <c r="F104" s="86">
        <f>F63+F81+F91+F103</f>
        <v>0</v>
      </c>
      <c r="G104" s="86">
        <f>G63+G81+G103</f>
        <v>7064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4905404</v>
      </c>
      <c r="D109" s="24" t="s">
        <v>288</v>
      </c>
      <c r="E109" s="95">
        <f>('DOE25'!L276)+('DOE25'!L295)+('DOE25'!L314)</f>
        <v>5702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989302</v>
      </c>
      <c r="D110" s="24" t="s">
        <v>288</v>
      </c>
      <c r="E110" s="95">
        <f>('DOE25'!L277)+('DOE25'!L296)+('DOE25'!L315)</f>
        <v>40389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56306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5894706</v>
      </c>
      <c r="D115" s="86">
        <f>SUM(D109:D114)</f>
        <v>0</v>
      </c>
      <c r="E115" s="86">
        <f>SUM(E109:E114)</f>
        <v>102397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354420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218755</v>
      </c>
      <c r="D119" s="24" t="s">
        <v>288</v>
      </c>
      <c r="E119" s="95">
        <f>+('DOE25'!L282)+('DOE25'!L301)+('DOE25'!L320)</f>
        <v>3500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316132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288643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415108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235389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61625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93288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1890072</v>
      </c>
      <c r="D128" s="86">
        <f>SUM(D118:D127)</f>
        <v>93288</v>
      </c>
      <c r="E128" s="86">
        <f>SUM(E118:E127)</f>
        <v>3500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355000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243769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13500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1581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5483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-7064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612269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8397047</v>
      </c>
      <c r="D145" s="86">
        <f>(D115+D128+D144)</f>
        <v>93288</v>
      </c>
      <c r="E145" s="86">
        <f>(E115+E128+E144)</f>
        <v>105897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7150000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4610000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35</v>
      </c>
      <c r="B159" s="137">
        <f>'DOE25'!F498</f>
        <v>4255000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4255000</v>
      </c>
    </row>
    <row r="160" spans="1:9" x14ac:dyDescent="0.2">
      <c r="A160" s="22" t="s">
        <v>36</v>
      </c>
      <c r="B160" s="137">
        <f>'DOE25'!F499</f>
        <v>1807129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1807129</v>
      </c>
    </row>
    <row r="161" spans="1:7" x14ac:dyDescent="0.2">
      <c r="A161" s="22" t="s">
        <v>37</v>
      </c>
      <c r="B161" s="137">
        <f>'DOE25'!F500</f>
        <v>6062129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6062129</v>
      </c>
    </row>
    <row r="162" spans="1:7" x14ac:dyDescent="0.2">
      <c r="A162" s="22" t="s">
        <v>38</v>
      </c>
      <c r="B162" s="137">
        <f>'DOE25'!F501</f>
        <v>355000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355000</v>
      </c>
    </row>
    <row r="163" spans="1:7" x14ac:dyDescent="0.2">
      <c r="A163" s="22" t="s">
        <v>39</v>
      </c>
      <c r="B163" s="137">
        <f>'DOE25'!F502</f>
        <v>194018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194018</v>
      </c>
    </row>
    <row r="164" spans="1:7" x14ac:dyDescent="0.2">
      <c r="A164" s="22" t="s">
        <v>246</v>
      </c>
      <c r="B164" s="137">
        <f>'DOE25'!F503</f>
        <v>549018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549018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Grantham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20475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20475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4911106</v>
      </c>
      <c r="D10" s="182">
        <f>ROUND((C10/$C$28)*100,1)</f>
        <v>60.1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1029691</v>
      </c>
      <c r="D11" s="182">
        <f>ROUND((C11/$C$28)*100,1)</f>
        <v>12.6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354420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222255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377757</v>
      </c>
      <c r="D17" s="182">
        <f t="shared" si="0"/>
        <v>4.5999999999999996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288643</v>
      </c>
      <c r="D18" s="182">
        <f t="shared" si="0"/>
        <v>3.5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415108</v>
      </c>
      <c r="D20" s="182">
        <f t="shared" si="0"/>
        <v>5.0999999999999996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235389</v>
      </c>
      <c r="D21" s="182">
        <f t="shared" si="0"/>
        <v>2.9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56306</v>
      </c>
      <c r="D23" s="182">
        <f t="shared" si="0"/>
        <v>0.7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243769</v>
      </c>
      <c r="D25" s="182">
        <f t="shared" si="0"/>
        <v>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42022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8176466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8176466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355000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6462728</v>
      </c>
      <c r="D35" s="182">
        <f t="shared" ref="D35:D40" si="1">ROUND((C35/$C$41)*100,1)</f>
        <v>72.8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68668</v>
      </c>
      <c r="D36" s="182">
        <f t="shared" si="1"/>
        <v>0.8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1607592</v>
      </c>
      <c r="D37" s="182">
        <f t="shared" si="1"/>
        <v>18.100000000000001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652516</v>
      </c>
      <c r="D38" s="182">
        <f t="shared" si="1"/>
        <v>7.4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83817</v>
      </c>
      <c r="D39" s="182">
        <f t="shared" si="1"/>
        <v>0.9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8875321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151" activePane="bottomLeft" state="frozen"/>
      <selection activeCell="F46" sqref="F46"/>
      <selection pane="bottomLeft" activeCell="M160" sqref="M160:M16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Grantham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2017-09-06T11:53:12Z</cp:lastPrinted>
  <dcterms:created xsi:type="dcterms:W3CDTF">1997-12-04T19:04:30Z</dcterms:created>
  <dcterms:modified xsi:type="dcterms:W3CDTF">2017-11-29T17:24:00Z</dcterms:modified>
</cp:coreProperties>
</file>